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0" yWindow="2040" windowWidth="12120" windowHeight="8355" tabRatio="850"/>
  </bookViews>
  <sheets>
    <sheet name="Zusammenfassung" sheetId="10" r:id="rId1"/>
    <sheet name="Tierbestand" sheetId="1" r:id="rId2"/>
    <sheet name="Abwasseranfall" sheetId="2" r:id="rId3"/>
    <sheet name="Güllegruben_Mistplatz" sheetId="13" r:id="rId4"/>
    <sheet name="Div.Tab.Grundlagen" sheetId="6" state="hidden" r:id="rId5"/>
    <sheet name="Tabelle1" sheetId="7" r:id="rId6"/>
    <sheet name="Tabelle2" sheetId="14" r:id="rId7"/>
    <sheet name="Grundlagen Anfall" sheetId="12" r:id="rId8"/>
  </sheets>
  <definedNames>
    <definedName name="Alp__120">Zusammenfassung!#REF!</definedName>
    <definedName name="BZ_III">Zusammenfassung!#REF!</definedName>
    <definedName name="_xlnm.Print_Area" localSheetId="7">'Grundlagen Anfall'!$A:$P</definedName>
    <definedName name="_xlnm.Print_Area" localSheetId="3">Güllegruben_Mistplatz!$A$1:$R$70</definedName>
    <definedName name="_xlnm.Print_Titles" localSheetId="7">'Grundlagen Anfall'!$1:$3</definedName>
    <definedName name="_xlnm.Print_Titles" localSheetId="1">Tierbestand!$7:$10</definedName>
    <definedName name="ID">"nicht identifiziert"</definedName>
    <definedName name="Ja" localSheetId="4">Div.Tab.Grundlagen!$C$21:$C$22</definedName>
    <definedName name="Zone">Zusammenfassung!$N$10</definedName>
  </definedNames>
  <calcPr calcId="125725" fullCalcOnLoad="1"/>
</workbook>
</file>

<file path=xl/calcChain.xml><?xml version="1.0" encoding="utf-8"?>
<calcChain xmlns="http://schemas.openxmlformats.org/spreadsheetml/2006/main">
  <c r="M2" i="13"/>
  <c r="M2" i="2"/>
  <c r="M2" i="1"/>
  <c r="O30" i="2"/>
  <c r="O29"/>
  <c r="O28"/>
  <c r="O31"/>
  <c r="O27"/>
  <c r="O26"/>
  <c r="Q4" i="13"/>
  <c r="N4" i="2"/>
  <c r="R4" i="1"/>
  <c r="Q38" i="13"/>
  <c r="R38" s="1"/>
  <c r="R40" s="1"/>
  <c r="F47" i="10" s="1"/>
  <c r="S117" i="1"/>
  <c r="S118"/>
  <c r="S119"/>
  <c r="S120"/>
  <c r="S121"/>
  <c r="S116"/>
  <c r="S114"/>
  <c r="S115"/>
  <c r="S113"/>
  <c r="S112"/>
  <c r="S111"/>
  <c r="S110"/>
  <c r="S29"/>
  <c r="R29"/>
  <c r="H29"/>
  <c r="J29"/>
  <c r="R19" i="13"/>
  <c r="R20"/>
  <c r="X25"/>
  <c r="R24"/>
  <c r="R23"/>
  <c r="Q123" i="1"/>
  <c r="H111"/>
  <c r="H112"/>
  <c r="H113"/>
  <c r="H114"/>
  <c r="H115"/>
  <c r="J115"/>
  <c r="M19" i="2"/>
  <c r="O19" s="1"/>
  <c r="H116" i="1"/>
  <c r="H117"/>
  <c r="H118"/>
  <c r="H119"/>
  <c r="H120"/>
  <c r="H121"/>
  <c r="H122"/>
  <c r="H110"/>
  <c r="J110"/>
  <c r="L107"/>
  <c r="M107"/>
  <c r="N107"/>
  <c r="O107"/>
  <c r="P107"/>
  <c r="Q107"/>
  <c r="H93"/>
  <c r="H94"/>
  <c r="H95"/>
  <c r="H96"/>
  <c r="H97"/>
  <c r="H98"/>
  <c r="H99"/>
  <c r="J99"/>
  <c r="H100"/>
  <c r="H101"/>
  <c r="H102"/>
  <c r="H103"/>
  <c r="H104"/>
  <c r="H105"/>
  <c r="H106"/>
  <c r="H92"/>
  <c r="J92"/>
  <c r="J107"/>
  <c r="L28" i="10"/>
  <c r="M16" i="2"/>
  <c r="O16" s="1"/>
  <c r="K89" i="1"/>
  <c r="L89"/>
  <c r="M89"/>
  <c r="N89"/>
  <c r="O89"/>
  <c r="P89"/>
  <c r="Q89"/>
  <c r="I89"/>
  <c r="H79"/>
  <c r="J79"/>
  <c r="H80"/>
  <c r="J80"/>
  <c r="H81"/>
  <c r="J81"/>
  <c r="H82"/>
  <c r="J82"/>
  <c r="H83"/>
  <c r="J83"/>
  <c r="H84"/>
  <c r="J84"/>
  <c r="H85"/>
  <c r="J85"/>
  <c r="H86"/>
  <c r="J86"/>
  <c r="H87"/>
  <c r="J87"/>
  <c r="H88"/>
  <c r="J88"/>
  <c r="H78"/>
  <c r="J78"/>
  <c r="K75"/>
  <c r="L75"/>
  <c r="M75"/>
  <c r="I75"/>
  <c r="N75"/>
  <c r="O75"/>
  <c r="P75"/>
  <c r="Q75"/>
  <c r="H70"/>
  <c r="H71"/>
  <c r="H72"/>
  <c r="H73"/>
  <c r="H75"/>
  <c r="H74"/>
  <c r="H69"/>
  <c r="H57"/>
  <c r="J57"/>
  <c r="J63"/>
  <c r="H58"/>
  <c r="J58"/>
  <c r="H59"/>
  <c r="J59"/>
  <c r="H60"/>
  <c r="J60"/>
  <c r="H61"/>
  <c r="J61"/>
  <c r="H62"/>
  <c r="J62"/>
  <c r="H56"/>
  <c r="H63"/>
  <c r="L63"/>
  <c r="M63"/>
  <c r="N63"/>
  <c r="I63"/>
  <c r="O63"/>
  <c r="P63"/>
  <c r="Q63"/>
  <c r="K63"/>
  <c r="H52"/>
  <c r="J52"/>
  <c r="H36"/>
  <c r="H37"/>
  <c r="H38"/>
  <c r="J38"/>
  <c r="H39"/>
  <c r="J39"/>
  <c r="H40"/>
  <c r="H41"/>
  <c r="J41"/>
  <c r="H42"/>
  <c r="J42"/>
  <c r="H43"/>
  <c r="J43"/>
  <c r="H44"/>
  <c r="H45"/>
  <c r="J45"/>
  <c r="H46"/>
  <c r="H47"/>
  <c r="H48"/>
  <c r="H49"/>
  <c r="H50"/>
  <c r="H51"/>
  <c r="H35"/>
  <c r="H34"/>
  <c r="H53"/>
  <c r="H30"/>
  <c r="H26"/>
  <c r="H27"/>
  <c r="J27"/>
  <c r="H28"/>
  <c r="J28"/>
  <c r="H25"/>
  <c r="H24"/>
  <c r="J24"/>
  <c r="R94"/>
  <c r="R95"/>
  <c r="R96"/>
  <c r="R97"/>
  <c r="R98"/>
  <c r="R99"/>
  <c r="R100"/>
  <c r="R101"/>
  <c r="R102"/>
  <c r="R103"/>
  <c r="R104"/>
  <c r="R105"/>
  <c r="R92"/>
  <c r="R93"/>
  <c r="H20"/>
  <c r="J20"/>
  <c r="H14"/>
  <c r="J14"/>
  <c r="H15"/>
  <c r="H16"/>
  <c r="H17"/>
  <c r="H18"/>
  <c r="H19"/>
  <c r="H13"/>
  <c r="S93"/>
  <c r="S94"/>
  <c r="S95"/>
  <c r="S96"/>
  <c r="S97"/>
  <c r="S98"/>
  <c r="S99"/>
  <c r="S100"/>
  <c r="S101"/>
  <c r="S102"/>
  <c r="S103"/>
  <c r="S104"/>
  <c r="S105"/>
  <c r="S92"/>
  <c r="S79"/>
  <c r="S80"/>
  <c r="S81"/>
  <c r="S82"/>
  <c r="S83"/>
  <c r="S84"/>
  <c r="S85"/>
  <c r="S86"/>
  <c r="S87"/>
  <c r="S78"/>
  <c r="S70"/>
  <c r="S71"/>
  <c r="S72"/>
  <c r="S73"/>
  <c r="S69"/>
  <c r="S57"/>
  <c r="S58"/>
  <c r="S59"/>
  <c r="S60"/>
  <c r="S61"/>
  <c r="S56"/>
  <c r="R35"/>
  <c r="R36"/>
  <c r="R37"/>
  <c r="R38"/>
  <c r="R39"/>
  <c r="R40"/>
  <c r="R41"/>
  <c r="R42"/>
  <c r="R43"/>
  <c r="R44"/>
  <c r="R45"/>
  <c r="R46"/>
  <c r="R47"/>
  <c r="R48"/>
  <c r="R49"/>
  <c r="R50"/>
  <c r="R51"/>
  <c r="S35"/>
  <c r="S36"/>
  <c r="S37"/>
  <c r="S38"/>
  <c r="S39"/>
  <c r="S40"/>
  <c r="S41"/>
  <c r="S42"/>
  <c r="S43"/>
  <c r="S44"/>
  <c r="S45"/>
  <c r="S46"/>
  <c r="S47"/>
  <c r="S48"/>
  <c r="S49"/>
  <c r="S50"/>
  <c r="S51"/>
  <c r="S34"/>
  <c r="S25"/>
  <c r="S26"/>
  <c r="S27"/>
  <c r="S28"/>
  <c r="S24"/>
  <c r="S15"/>
  <c r="S16"/>
  <c r="S17"/>
  <c r="S18"/>
  <c r="S19"/>
  <c r="Q53"/>
  <c r="Q31"/>
  <c r="Q21"/>
  <c r="R79"/>
  <c r="R80"/>
  <c r="R81"/>
  <c r="R82"/>
  <c r="R83"/>
  <c r="R84"/>
  <c r="R85"/>
  <c r="R86"/>
  <c r="R87"/>
  <c r="R78"/>
  <c r="R70"/>
  <c r="R71"/>
  <c r="R72"/>
  <c r="R73"/>
  <c r="R69"/>
  <c r="R57"/>
  <c r="R58"/>
  <c r="R59"/>
  <c r="R60"/>
  <c r="R61"/>
  <c r="R56"/>
  <c r="R34"/>
  <c r="R25"/>
  <c r="R26"/>
  <c r="R27"/>
  <c r="R28"/>
  <c r="R24"/>
  <c r="R15"/>
  <c r="R16"/>
  <c r="R17"/>
  <c r="R18"/>
  <c r="R19"/>
  <c r="M44" i="2"/>
  <c r="L35" i="10"/>
  <c r="C6" i="12"/>
  <c r="C7"/>
  <c r="M43" i="10"/>
  <c r="L47"/>
  <c r="Q51" i="13"/>
  <c r="R51"/>
  <c r="Q52"/>
  <c r="R52"/>
  <c r="Q53"/>
  <c r="R53"/>
  <c r="Q23"/>
  <c r="Q19"/>
  <c r="Q20"/>
  <c r="Q21"/>
  <c r="R21"/>
  <c r="Q22"/>
  <c r="R22"/>
  <c r="R44"/>
  <c r="R45"/>
  <c r="R57"/>
  <c r="M21" i="2"/>
  <c r="O21"/>
  <c r="R46" i="13"/>
  <c r="R47"/>
  <c r="R48"/>
  <c r="R49"/>
  <c r="R50"/>
  <c r="R54"/>
  <c r="R55"/>
  <c r="R56"/>
  <c r="R43"/>
  <c r="Q44"/>
  <c r="Q45"/>
  <c r="Q46"/>
  <c r="Q47"/>
  <c r="Q48"/>
  <c r="Q49"/>
  <c r="Q50"/>
  <c r="Q54"/>
  <c r="Q55"/>
  <c r="Q56"/>
  <c r="Q43"/>
  <c r="Q57"/>
  <c r="R18"/>
  <c r="R17"/>
  <c r="Q24"/>
  <c r="Q18"/>
  <c r="Q17"/>
  <c r="Q25"/>
  <c r="Q26"/>
  <c r="J13" i="1"/>
  <c r="J44"/>
  <c r="J40"/>
  <c r="J37"/>
  <c r="N53"/>
  <c r="P123"/>
  <c r="P31"/>
  <c r="P21"/>
  <c r="K31"/>
  <c r="L31"/>
  <c r="M31"/>
  <c r="N31"/>
  <c r="O31"/>
  <c r="I31"/>
  <c r="L21"/>
  <c r="M21"/>
  <c r="N21"/>
  <c r="O21"/>
  <c r="K21"/>
  <c r="I21"/>
  <c r="K107"/>
  <c r="I107"/>
  <c r="J74"/>
  <c r="J75"/>
  <c r="J70"/>
  <c r="J69"/>
  <c r="J73"/>
  <c r="J72"/>
  <c r="J71"/>
  <c r="O24" i="2"/>
  <c r="O23"/>
  <c r="O15"/>
  <c r="O17"/>
  <c r="O22"/>
  <c r="O36"/>
  <c r="O44"/>
  <c r="N35" i="10"/>
  <c r="O37" i="2"/>
  <c r="O38"/>
  <c r="F14" i="1"/>
  <c r="J16"/>
  <c r="J17"/>
  <c r="J18"/>
  <c r="J15"/>
  <c r="J19"/>
  <c r="J25"/>
  <c r="J26"/>
  <c r="J30"/>
  <c r="J34"/>
  <c r="J35"/>
  <c r="J36"/>
  <c r="J50"/>
  <c r="J51"/>
  <c r="J47"/>
  <c r="J49"/>
  <c r="J46"/>
  <c r="J48"/>
  <c r="K53"/>
  <c r="I53"/>
  <c r="L53"/>
  <c r="M53"/>
  <c r="O53"/>
  <c r="P53"/>
  <c r="J56"/>
  <c r="J98"/>
  <c r="J97"/>
  <c r="J93"/>
  <c r="J95"/>
  <c r="J96"/>
  <c r="J104"/>
  <c r="J105"/>
  <c r="J94"/>
  <c r="J102"/>
  <c r="J101"/>
  <c r="J100"/>
  <c r="J103"/>
  <c r="J106"/>
  <c r="J111"/>
  <c r="J112"/>
  <c r="J113"/>
  <c r="J114"/>
  <c r="J116"/>
  <c r="J117"/>
  <c r="J118"/>
  <c r="J119"/>
  <c r="J120"/>
  <c r="J121"/>
  <c r="J122"/>
  <c r="K123"/>
  <c r="L123"/>
  <c r="I123"/>
  <c r="M123"/>
  <c r="N123"/>
  <c r="O123"/>
  <c r="H21"/>
  <c r="H89"/>
  <c r="H107"/>
  <c r="H31"/>
  <c r="R123"/>
  <c r="N29" i="10"/>
  <c r="R25" i="13"/>
  <c r="R26"/>
  <c r="S7" i="12"/>
  <c r="I7"/>
  <c r="L25" i="13"/>
  <c r="S89" i="1"/>
  <c r="O27" i="10" s="1"/>
  <c r="R63" i="1"/>
  <c r="N25" i="10" s="1"/>
  <c r="S107" i="1"/>
  <c r="O28" i="10" s="1"/>
  <c r="R31" i="1"/>
  <c r="N23" i="10" s="1"/>
  <c r="S53" i="1"/>
  <c r="O24" i="10" s="1"/>
  <c r="S63" i="1"/>
  <c r="O25" i="10" s="1"/>
  <c r="S6" i="12"/>
  <c r="I6" s="1"/>
  <c r="S13" i="1" s="1"/>
  <c r="Q7" i="12"/>
  <c r="J7" s="1"/>
  <c r="Q6"/>
  <c r="M18" i="2"/>
  <c r="O18" s="1"/>
  <c r="J123" i="1"/>
  <c r="L29" i="10"/>
  <c r="M12" i="2"/>
  <c r="O12" s="1"/>
  <c r="L25" i="10"/>
  <c r="U26" i="13"/>
  <c r="M48" i="10"/>
  <c r="Q28" i="13"/>
  <c r="J89" i="1"/>
  <c r="J21"/>
  <c r="J31"/>
  <c r="R28" i="13"/>
  <c r="L26"/>
  <c r="O48" i="10"/>
  <c r="L48"/>
  <c r="G48"/>
  <c r="F48"/>
  <c r="Q59" i="13"/>
  <c r="M13" i="2"/>
  <c r="O13" s="1"/>
  <c r="L26" i="10"/>
  <c r="J53" i="1"/>
  <c r="R7" i="12"/>
  <c r="O7" s="1"/>
  <c r="N7"/>
  <c r="R6"/>
  <c r="R89" i="1"/>
  <c r="N27" i="10" s="1"/>
  <c r="S75" i="1"/>
  <c r="O26" i="10" s="1"/>
  <c r="M20" i="2"/>
  <c r="O20" s="1"/>
  <c r="H123" i="1"/>
  <c r="R75"/>
  <c r="N26" i="10"/>
  <c r="R107" i="1"/>
  <c r="N28" i="10"/>
  <c r="R53" i="1"/>
  <c r="N24" i="10"/>
  <c r="S123" i="1"/>
  <c r="O29" i="10"/>
  <c r="S31" i="1"/>
  <c r="O23" i="10"/>
  <c r="G6" i="12"/>
  <c r="K6"/>
  <c r="L6"/>
  <c r="F6"/>
  <c r="R13" i="1" s="1"/>
  <c r="N6" i="12"/>
  <c r="J6"/>
  <c r="L7"/>
  <c r="F7"/>
  <c r="H6"/>
  <c r="M6"/>
  <c r="L27" i="10"/>
  <c r="M14" i="2"/>
  <c r="O14"/>
  <c r="L22" i="10"/>
  <c r="M9" i="2"/>
  <c r="O9" s="1"/>
  <c r="O6" i="12"/>
  <c r="L24" i="10"/>
  <c r="M11" i="2"/>
  <c r="O11" s="1"/>
  <c r="M10"/>
  <c r="O10" s="1"/>
  <c r="L23" i="10"/>
  <c r="K7" i="12"/>
  <c r="N48" i="10"/>
  <c r="N47"/>
  <c r="V25" i="13"/>
  <c r="V26"/>
  <c r="W26"/>
  <c r="X26"/>
  <c r="L30" i="10"/>
  <c r="O46" i="2" l="1"/>
  <c r="O33"/>
  <c r="M7" i="12"/>
  <c r="H7"/>
  <c r="S14" i="1" s="1"/>
  <c r="S21" s="1"/>
  <c r="G7" i="12"/>
  <c r="R14" i="1" s="1"/>
  <c r="R21" s="1"/>
  <c r="S124" l="1"/>
  <c r="O22" i="10"/>
  <c r="O30" s="1"/>
  <c r="Q9" i="13" s="1"/>
  <c r="N22" i="10"/>
  <c r="N30" s="1"/>
  <c r="O47" i="2"/>
  <c r="N50" s="1"/>
  <c r="R124" i="1"/>
  <c r="O35" i="10"/>
  <c r="N34"/>
  <c r="N46" i="2"/>
  <c r="N36" i="10" l="1"/>
  <c r="M35"/>
  <c r="G43"/>
  <c r="G42"/>
  <c r="N38"/>
  <c r="O48" i="2"/>
  <c r="O38" i="10" s="1"/>
  <c r="Q37" i="13" s="1"/>
  <c r="Q40" s="1"/>
  <c r="M42" i="10"/>
  <c r="Q12" i="13"/>
  <c r="R29" l="1"/>
  <c r="Q29"/>
  <c r="U25"/>
  <c r="W25" s="1"/>
  <c r="P26"/>
  <c r="O47" i="10" s="1"/>
  <c r="M29" i="13"/>
  <c r="M47" i="10"/>
  <c r="P25" i="13"/>
  <c r="Q60"/>
  <c r="M60"/>
  <c r="G47" i="10"/>
  <c r="M61" i="13" l="1"/>
  <c r="M62"/>
  <c r="A49" i="10"/>
  <c r="A50" s="1"/>
  <c r="I49"/>
  <c r="I50" s="1"/>
  <c r="M31" i="13"/>
  <c r="M30"/>
  <c r="O49" i="10"/>
  <c r="O50" s="1"/>
  <c r="R30" i="13"/>
  <c r="R31"/>
  <c r="Q62"/>
  <c r="G49" i="10"/>
  <c r="G50" s="1"/>
  <c r="Q61" i="13"/>
  <c r="F49" i="10" s="1"/>
  <c r="M49"/>
  <c r="N49" s="1"/>
  <c r="Q30" i="13"/>
  <c r="L49" i="10" s="1"/>
  <c r="Q31" i="13"/>
</calcChain>
</file>

<file path=xl/sharedStrings.xml><?xml version="1.0" encoding="utf-8"?>
<sst xmlns="http://schemas.openxmlformats.org/spreadsheetml/2006/main" count="758" uniqueCount="369">
  <si>
    <t>Milchkühe</t>
  </si>
  <si>
    <t>Stück</t>
  </si>
  <si>
    <t>Jungvieh zur Zucht  0 bis 1-jährig</t>
  </si>
  <si>
    <t>Aufzuchtrinder 1 bis 2-jährig</t>
  </si>
  <si>
    <t>Aufzuchtrinder über 2-jährig</t>
  </si>
  <si>
    <t>Platz</t>
  </si>
  <si>
    <t>Mastkälber (50-200 kg)</t>
  </si>
  <si>
    <t>Mastkälber (50-200 kg) pro Jahr</t>
  </si>
  <si>
    <t>Anderes:</t>
  </si>
  <si>
    <t>Pferde über 3-jährig</t>
  </si>
  <si>
    <t>Zuchtstute inkl. Fohlen</t>
  </si>
  <si>
    <t>Fohlen 0.5 bis 3-jährig</t>
  </si>
  <si>
    <t>Einheit</t>
  </si>
  <si>
    <t>Schweine</t>
  </si>
  <si>
    <t>Geflügel</t>
  </si>
  <si>
    <t>100 Pl.</t>
  </si>
  <si>
    <t>Junghennen</t>
  </si>
  <si>
    <t>Mastpoulets</t>
  </si>
  <si>
    <t>Masttruten</t>
  </si>
  <si>
    <t>Einheiten</t>
  </si>
  <si>
    <t>Stallreinigung und Tierpflege Schweine</t>
  </si>
  <si>
    <t>Stallreinigung Legehennen</t>
  </si>
  <si>
    <t>Stallreinigung Mastgeflügel</t>
  </si>
  <si>
    <t>Reinigung:</t>
  </si>
  <si>
    <t>Milchkammer</t>
  </si>
  <si>
    <t>Kühltank</t>
  </si>
  <si>
    <t>Eimermelkanlage</t>
  </si>
  <si>
    <t>Einwohner</t>
  </si>
  <si>
    <t>nur Gülle</t>
  </si>
  <si>
    <t>Name / Vorname</t>
  </si>
  <si>
    <t>Strasse / Hof</t>
  </si>
  <si>
    <t>Telefon</t>
  </si>
  <si>
    <t>Variante</t>
  </si>
  <si>
    <t>Rindviehmast</t>
  </si>
  <si>
    <t>nur Mist</t>
  </si>
  <si>
    <t>Kotband</t>
  </si>
  <si>
    <t>Trutenmist</t>
  </si>
  <si>
    <t>Pouletmist</t>
  </si>
  <si>
    <t>Zuchtstiere</t>
  </si>
  <si>
    <t>Rindviehmast int. Vormastkälber</t>
  </si>
  <si>
    <t>Rindviehmast Remonten bis 300 kg.</t>
  </si>
  <si>
    <t>Rindviehmast Ausmast von Remonten</t>
  </si>
  <si>
    <t>Rindviehmast int. Ausmast</t>
  </si>
  <si>
    <t>Rindvieh-Weidemast 65-530kg.</t>
  </si>
  <si>
    <t>Rindvieh-Weidemast Vormast</t>
  </si>
  <si>
    <t>Rindvieh-Weidemast Ausmast</t>
  </si>
  <si>
    <t>Rindviehmast int. Vormastkälber pro Jahr</t>
  </si>
  <si>
    <t>Rindvieh-Weidemast Vormast pro Jahr</t>
  </si>
  <si>
    <t>Rindvieh-Weidemast Ausmast pro Jahr</t>
  </si>
  <si>
    <t>Ziegenplatz</t>
  </si>
  <si>
    <t>Milchschafplatz</t>
  </si>
  <si>
    <t>Schafplatz</t>
  </si>
  <si>
    <t>Weidemastlamm</t>
  </si>
  <si>
    <t>Maultiere, Maulesel</t>
  </si>
  <si>
    <t>Ponies, Kleinpferde und Esel</t>
  </si>
  <si>
    <t>Galtsau Deckbetrieb</t>
  </si>
  <si>
    <t>Galtsau</t>
  </si>
  <si>
    <t>Ferkel abgesetzt</t>
  </si>
  <si>
    <t>Zuchtschwein ohne Ferkelaufzucht</t>
  </si>
  <si>
    <t>Säugende Zuchtsau</t>
  </si>
  <si>
    <t>Mastschwein Jagermacher 25-50 kg.</t>
  </si>
  <si>
    <t>Legehennen</t>
  </si>
  <si>
    <t>Enten ausgewachsene Tiere</t>
  </si>
  <si>
    <t>Enten Mast- und Aufzuchttiere</t>
  </si>
  <si>
    <t>Gänse ausgewachsene Tiere</t>
  </si>
  <si>
    <t>Gänse Mast- und Aufzuchttiere</t>
  </si>
  <si>
    <t>Perlhühner ausgewachsene Tiere</t>
  </si>
  <si>
    <t>Perlhühner Mast- und Aufzuchttiere</t>
  </si>
  <si>
    <t>Masttruten Vormast</t>
  </si>
  <si>
    <t>GVE Faktor</t>
  </si>
  <si>
    <t>Masttruten Ausmast</t>
  </si>
  <si>
    <t>GVE</t>
  </si>
  <si>
    <t>Gesamtanfall im Jahr verdünnt</t>
  </si>
  <si>
    <t>MSP</t>
  </si>
  <si>
    <t>Zone</t>
  </si>
  <si>
    <t>Tierbestand</t>
  </si>
  <si>
    <t>Mistlagerplatz</t>
  </si>
  <si>
    <t>Güllelagerraum</t>
  </si>
  <si>
    <t>KANTON
NIDWALDEN</t>
  </si>
  <si>
    <t>LANDWIRTSCHAFTS-
UND UMWELTDIREKTION</t>
  </si>
  <si>
    <t>Lagerdauer</t>
  </si>
  <si>
    <t>Talzone</t>
  </si>
  <si>
    <t>Voralpine Hügelzone</t>
  </si>
  <si>
    <t>Bergzone 1</t>
  </si>
  <si>
    <t>Bergzone 2</t>
  </si>
  <si>
    <t>Bergzone 3</t>
  </si>
  <si>
    <t>Bergzone 4</t>
  </si>
  <si>
    <t>TZ</t>
  </si>
  <si>
    <t>VHZ</t>
  </si>
  <si>
    <t>BZ I</t>
  </si>
  <si>
    <t>BZ II</t>
  </si>
  <si>
    <t>BZ III</t>
  </si>
  <si>
    <t>BZ IV</t>
  </si>
  <si>
    <t>Nein</t>
  </si>
  <si>
    <t>Ja</t>
  </si>
  <si>
    <t>Alp (120)</t>
  </si>
  <si>
    <t>Alp mit 120 Tagen</t>
  </si>
  <si>
    <t>Bod.u.Betr.</t>
  </si>
  <si>
    <t>Bodenunabhängiger Betrieb</t>
  </si>
  <si>
    <t>Betriebsdaten</t>
  </si>
  <si>
    <t>Mob.Telefon</t>
  </si>
  <si>
    <t>Kantonale Betriebsnummer</t>
  </si>
  <si>
    <t>Bemerkungen:</t>
  </si>
  <si>
    <t>Fax oder E-Mail</t>
  </si>
  <si>
    <t>Mastschwein 25-100 kg, Remonten</t>
  </si>
  <si>
    <t>Mastschwein Ausmast Jager 50-100 kg</t>
  </si>
  <si>
    <t>Anfall
t Mist</t>
  </si>
  <si>
    <t>GVE
Total</t>
  </si>
  <si>
    <t>Total
Ein-
heiten</t>
  </si>
  <si>
    <t>Schmutz-Abwasseranfall</t>
  </si>
  <si>
    <r>
      <t>Anfall
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Gülle</t>
    </r>
  </si>
  <si>
    <t>Anz. Einh.</t>
  </si>
  <si>
    <t>Stallreinigung und Tierpflege Pferde</t>
  </si>
  <si>
    <t>Stallreinigung und Tierpflege Kleinwiederkäuer</t>
  </si>
  <si>
    <t>Betreiben einer Schwemmentmistung</t>
  </si>
  <si>
    <t>Fläche befestigter Laufhof (LH) nicht überdacht</t>
  </si>
  <si>
    <t>Weiter in die Güllegrube(n) entwässerte Flächen</t>
  </si>
  <si>
    <r>
      <t>m</t>
    </r>
    <r>
      <rPr>
        <vertAlign val="superscript"/>
        <sz val="9"/>
        <rFont val="Arial"/>
        <family val="2"/>
      </rPr>
      <t>2</t>
    </r>
  </si>
  <si>
    <t>Weitere:</t>
  </si>
  <si>
    <t>Herkunft Stall</t>
  </si>
  <si>
    <t>Häusliche Abwasser</t>
  </si>
  <si>
    <t>Lagerdauer (Monate)</t>
  </si>
  <si>
    <t>bestehende Mistplatzfläche(n)</t>
  </si>
  <si>
    <t>Platz 1</t>
  </si>
  <si>
    <t>Platz 2</t>
  </si>
  <si>
    <t>Platz 3</t>
  </si>
  <si>
    <t>Platz 4</t>
  </si>
  <si>
    <t>Beurteilung der Lagerfläche</t>
  </si>
  <si>
    <t>Lager 1</t>
  </si>
  <si>
    <t>Lager 2</t>
  </si>
  <si>
    <t>Lager 3</t>
  </si>
  <si>
    <t>Lager 4</t>
  </si>
  <si>
    <t>Lager 5</t>
  </si>
  <si>
    <r>
      <t>m</t>
    </r>
    <r>
      <rPr>
        <vertAlign val="superscript"/>
        <sz val="9"/>
        <rFont val="Arial"/>
        <family val="2"/>
      </rPr>
      <t>3</t>
    </r>
  </si>
  <si>
    <t>t Mist</t>
  </si>
  <si>
    <t>Zuchteber (Stk.)</t>
  </si>
  <si>
    <t>Mastschwein 25-100 kg, Remonten (Stk./J.)</t>
  </si>
  <si>
    <t>Ferkel abgesetzt (Stk./J.)</t>
  </si>
  <si>
    <t>Galtsau (Stk./J.)</t>
  </si>
  <si>
    <t>Säugende Zuchtsau (Stk./J.)</t>
  </si>
  <si>
    <t>Zuchtschwein inkl. Ferkel  bis 25 kg</t>
  </si>
  <si>
    <t>Mutterkühe</t>
  </si>
  <si>
    <t>Gesamtanfall im Jahr unverdünnt</t>
  </si>
  <si>
    <r>
      <t>Hofdünger-Güllenanfall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</si>
  <si>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t>Andere Ziegen über 1-jährig</t>
  </si>
  <si>
    <t>Schafplatz intensive Haltung</t>
  </si>
  <si>
    <t>Kleinwiederkäuer</t>
  </si>
  <si>
    <t>Pferdehaltung</t>
  </si>
  <si>
    <t>Andere Rauhfutterverzehrer</t>
  </si>
  <si>
    <t>Bison über 3-jährig</t>
  </si>
  <si>
    <t>Bison unter 3-jährig</t>
  </si>
  <si>
    <t>Damhirsch jeden Alters</t>
  </si>
  <si>
    <t>Rothirsch jeden Alters</t>
  </si>
  <si>
    <t>Lama über 2-jährig</t>
  </si>
  <si>
    <t>Lama unter 2-jährig</t>
  </si>
  <si>
    <t>Alphaka über 2-jährig</t>
  </si>
  <si>
    <t>Alphaka unter 2-jährig</t>
  </si>
  <si>
    <t>Mutterkaninchenplatz</t>
  </si>
  <si>
    <t>Mastkaninchen</t>
  </si>
  <si>
    <t xml:space="preserve">Hofdüngeranfall (Gülle und Mist)  </t>
  </si>
  <si>
    <t>Ø Leistung/Jahr:</t>
  </si>
  <si>
    <t>Mutterkühe schwer (über 600 kg LG)</t>
  </si>
  <si>
    <t>Mutterkühe leicht (ca. 450 kg LG)</t>
  </si>
  <si>
    <t>Ammenkühe (2 Kälber)</t>
  </si>
  <si>
    <t>Mutterkuhkälber leicht (bis ca. 350 kg LG)</t>
  </si>
  <si>
    <t>Mutterkuhkälber schwer (bis ca. 400 kg LG)</t>
  </si>
  <si>
    <t>Rindviehmast Weidemast &gt; 4 Monate</t>
  </si>
  <si>
    <t>Rindviehmast Tränker &lt; 4 Monate</t>
  </si>
  <si>
    <t>Rindviehmast intensiv &gt; 4 Monate</t>
  </si>
  <si>
    <t>Rindviehmast int. Ausmast ab 300 kg LG</t>
  </si>
  <si>
    <t>Monate</t>
  </si>
  <si>
    <t>Total Abwasser Stall</t>
  </si>
  <si>
    <t>Total Häusliche Abwasser</t>
  </si>
  <si>
    <t>Kleinwiederkäuer, Ziegen, Schafe</t>
  </si>
  <si>
    <t>Andere Raufutterverzehrer</t>
  </si>
  <si>
    <t>Schmutz-Abwasseranfall (Stall und Haus)</t>
  </si>
  <si>
    <t>Tierkategorie</t>
  </si>
  <si>
    <t>Rind, Milchvieh</t>
  </si>
  <si>
    <t>Rind, Mutterkühe</t>
  </si>
  <si>
    <t>Rind, Rindviehmast</t>
  </si>
  <si>
    <r>
      <t>(m</t>
    </r>
    <r>
      <rPr>
        <b/>
        <vertAlign val="superscript"/>
        <sz val="10"/>
        <rFont val="Algerian"/>
        <family val="5"/>
      </rPr>
      <t>3</t>
    </r>
    <r>
      <rPr>
        <b/>
        <sz val="10"/>
        <rFont val="Arial"/>
        <family val="2"/>
      </rPr>
      <t>/Jahr)</t>
    </r>
  </si>
  <si>
    <t>Lauf- oder Anbindestall</t>
  </si>
  <si>
    <t>LM und Gülle
40-60 % eingestreut</t>
  </si>
  <si>
    <t>LM und viel Gülle
10-40 % eingestreut</t>
  </si>
  <si>
    <t>LM und wenig Gülle
60-90 % eingestreut</t>
  </si>
  <si>
    <t>keine Angaben
oder Freiland</t>
  </si>
  <si>
    <t>Laufstall (LM: Laufstallmist)</t>
  </si>
  <si>
    <r>
      <t xml:space="preserve">Anzahl </t>
    </r>
    <r>
      <rPr>
        <b/>
        <sz val="10"/>
        <rFont val="Arial"/>
        <family val="2"/>
      </rPr>
      <t>Einheiten</t>
    </r>
    <r>
      <rPr>
        <sz val="9"/>
        <rFont val="Arial"/>
        <family val="2"/>
      </rPr>
      <t xml:space="preserve"> pro Aufstallungssystem:</t>
    </r>
  </si>
  <si>
    <t>Anfall pro Tierart
und Jahr</t>
  </si>
  <si>
    <t>Lager- und Stapelvolumenberechnung</t>
  </si>
  <si>
    <t>%</t>
  </si>
  <si>
    <t>Mistanfall (t/Jahr)</t>
  </si>
  <si>
    <t>Lagerkapazität</t>
  </si>
  <si>
    <t>SOLL</t>
  </si>
  <si>
    <t>IST</t>
  </si>
  <si>
    <r>
      <t>Volumengewicht (kg/m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</si>
  <si>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t>Länge
m</t>
  </si>
  <si>
    <t>Breite
m</t>
  </si>
  <si>
    <t>Laufstall mit Tiefstreue / gedeckter Mistplatz</t>
  </si>
  <si>
    <t>Volumen
m3</t>
  </si>
  <si>
    <t>oder</t>
  </si>
  <si>
    <r>
      <t>Fläche
m</t>
    </r>
    <r>
      <rPr>
        <vertAlign val="superscript"/>
        <sz val="10"/>
        <rFont val="Arial"/>
        <family val="2"/>
      </rPr>
      <t>2</t>
    </r>
  </si>
  <si>
    <r>
      <t>Volumen
m</t>
    </r>
    <r>
      <rPr>
        <vertAlign val="superscript"/>
        <sz val="10"/>
        <rFont val="Arial"/>
        <family val="2"/>
      </rPr>
      <t>3</t>
    </r>
  </si>
  <si>
    <r>
      <t>Fläche MP
m</t>
    </r>
    <r>
      <rPr>
        <vertAlign val="superscript"/>
        <sz val="10"/>
        <rFont val="Arial"/>
        <family val="2"/>
      </rPr>
      <t>2</t>
    </r>
  </si>
  <si>
    <t>Stapel-
höhe m</t>
  </si>
  <si>
    <t>Zwischentotal IST</t>
  </si>
  <si>
    <t>Lagerdauer aufgrund der Zonenzugehörigkeit (Monate)</t>
  </si>
  <si>
    <t>Lagerdauer manuelle Eingabe (Monate)</t>
  </si>
  <si>
    <r>
      <t>Gülleanfall verdünnt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</si>
  <si>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Notwendiger Lagerraum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 SOLL</t>
    </r>
  </si>
  <si>
    <t>Höhe
m</t>
  </si>
  <si>
    <t>Lager 6</t>
  </si>
  <si>
    <t>Lager 7</t>
  </si>
  <si>
    <t>Lager 8</t>
  </si>
  <si>
    <t>Lager 9</t>
  </si>
  <si>
    <t>Lager 10</t>
  </si>
  <si>
    <t>Platz 5</t>
  </si>
  <si>
    <t>Lager 11</t>
  </si>
  <si>
    <t>Lager 12</t>
  </si>
  <si>
    <t>Grube</t>
  </si>
  <si>
    <t>Silo</t>
  </si>
  <si>
    <t>Grube/Silo</t>
  </si>
  <si>
    <t>Nicht über-
dachte Fl.
m2</t>
  </si>
  <si>
    <t>Reinigung Ja/Nein</t>
  </si>
  <si>
    <t>Bodenunabhängiger Betrieb Ja/Nein</t>
  </si>
  <si>
    <t>Über-
dacht</t>
  </si>
  <si>
    <r>
      <t>m</t>
    </r>
    <r>
      <rPr>
        <b/>
        <vertAlign val="superscript"/>
        <sz val="10"/>
        <rFont val="Arial"/>
        <family val="2"/>
      </rPr>
      <t>3</t>
    </r>
  </si>
  <si>
    <t>Güllengruben, -Silo überdacht Ja/Nein</t>
  </si>
  <si>
    <t>Durch-
messer
m</t>
  </si>
  <si>
    <t>Platz 6</t>
  </si>
  <si>
    <t>Lager 13</t>
  </si>
  <si>
    <t>Lager 14</t>
  </si>
  <si>
    <r>
      <t>m</t>
    </r>
    <r>
      <rPr>
        <b/>
        <vertAlign val="superscript"/>
        <sz val="11"/>
        <rFont val="Arial"/>
        <family val="2"/>
      </rPr>
      <t>2</t>
    </r>
  </si>
  <si>
    <t>PLZ / Ort / Kt.</t>
  </si>
  <si>
    <t>Berechnet durch</t>
  </si>
  <si>
    <t>Berechnungsdatum</t>
  </si>
  <si>
    <t>Güllenverdünnung (1 : _)</t>
  </si>
  <si>
    <r>
      <t>Gülleanfall verdünnt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/Jahr)</t>
    </r>
  </si>
  <si>
    <r>
      <t xml:space="preserve">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Vollgülle</t>
    </r>
  </si>
  <si>
    <t>GVE 
Faktor</t>
  </si>
  <si>
    <t>keine Angaben oder Freiland</t>
  </si>
  <si>
    <t>Galtkühe (Anfall 70 % Standardkuh)</t>
  </si>
  <si>
    <t>Total Personen</t>
  </si>
  <si>
    <t>Laktierende Kühe (nur ...)</t>
  </si>
  <si>
    <t>Galtkühe (nur ...)</t>
  </si>
  <si>
    <t>Lakt. Kühe (Anfall 107 % Standardkuh)</t>
  </si>
  <si>
    <t>Güllek.</t>
  </si>
  <si>
    <t>Mistkorrektur</t>
  </si>
  <si>
    <t>Kotgrube</t>
  </si>
  <si>
    <t>Rindviehmast int. Ausmast pro Jahr</t>
  </si>
  <si>
    <t>Rindviehmast int. 65-520 kg</t>
  </si>
  <si>
    <t>Kot-
band</t>
  </si>
  <si>
    <t>Kot-
grube</t>
  </si>
  <si>
    <t>Poulet-
mist</t>
  </si>
  <si>
    <t>Truten-
mist</t>
  </si>
  <si>
    <t>Tiefere Werte müssen begründet sein!</t>
  </si>
  <si>
    <t>Stallreinigung und Tierpflege Milchvieh</t>
  </si>
  <si>
    <t>Stallreinigung und Tierpflege Mutterkühe</t>
  </si>
  <si>
    <t>Stallreinigung und Tierpflege Rindviehmast</t>
  </si>
  <si>
    <t>Bestehend</t>
  </si>
  <si>
    <t>EM</t>
  </si>
  <si>
    <t>BD</t>
  </si>
  <si>
    <t>BU</t>
  </si>
  <si>
    <t>EB</t>
  </si>
  <si>
    <t>ST</t>
  </si>
  <si>
    <t>SD</t>
  </si>
  <si>
    <t>HE</t>
  </si>
  <si>
    <t>ES</t>
  </si>
  <si>
    <t>OB</t>
  </si>
  <si>
    <t>DA</t>
  </si>
  <si>
    <t>WO</t>
  </si>
  <si>
    <t xml:space="preserve">Prod.stätte / Parz. Nr. </t>
  </si>
  <si>
    <r>
      <t>m</t>
    </r>
    <r>
      <rPr>
        <b/>
        <vertAlign val="superscript"/>
        <sz val="11"/>
        <rFont val="Arial"/>
        <family val="2"/>
      </rPr>
      <t>3</t>
    </r>
  </si>
  <si>
    <t>Fläche befestigter Mistplatz (MP), ergibt sich aus Mistplatzflächen</t>
  </si>
  <si>
    <t>Fläche ungedeckte Güllelager-Silo (GS), ergibt sich aus Güllegruben</t>
  </si>
  <si>
    <t>Gülleverdünnung:</t>
  </si>
  <si>
    <r>
      <t>Notwendiger Raum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 SOLL</t>
    </r>
  </si>
  <si>
    <t>Total Mistlagerplätze IST</t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</si>
  <si>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/ m</t>
    </r>
    <r>
      <rPr>
        <b/>
        <vertAlign val="superscript"/>
        <sz val="10"/>
        <rFont val="Arial"/>
        <family val="2"/>
      </rPr>
      <t>2</t>
    </r>
  </si>
  <si>
    <t>Mt.</t>
  </si>
  <si>
    <t>m2</t>
  </si>
  <si>
    <t>m3</t>
  </si>
  <si>
    <t>Höhe</t>
  </si>
  <si>
    <t>m</t>
  </si>
  <si>
    <r>
      <t xml:space="preserve">Zwischentotal IST, ungedeckte Mistplätze </t>
    </r>
    <r>
      <rPr>
        <b/>
        <sz val="10"/>
        <rFont val="Arial"/>
        <family val="2"/>
      </rPr>
      <t>(Vorrat/Manko!)</t>
    </r>
  </si>
  <si>
    <t>Anfall pro Tierkat. u. Jahr</t>
  </si>
  <si>
    <t>Emmetten (EM)</t>
  </si>
  <si>
    <t>W'schiessen (WO)</t>
  </si>
  <si>
    <t>Beckenried (BD)</t>
  </si>
  <si>
    <t>Buochs (BU)</t>
  </si>
  <si>
    <t>Ennetbürgen (EB)</t>
  </si>
  <si>
    <t>Stans (ST)</t>
  </si>
  <si>
    <t>Stansstad (SD)</t>
  </si>
  <si>
    <t>Obbürgen (SD)</t>
  </si>
  <si>
    <t>Fürigen (SD)</t>
  </si>
  <si>
    <t>Kehrsiten (SD)</t>
  </si>
  <si>
    <t>Hergiswil (HE)</t>
  </si>
  <si>
    <t>Ennetmoos (ES)</t>
  </si>
  <si>
    <t>Oberdorf (OB)</t>
  </si>
  <si>
    <t>Büren (OB)</t>
  </si>
  <si>
    <t>N'rickenbach (OB)</t>
  </si>
  <si>
    <t>Dallenwil (DA)</t>
  </si>
  <si>
    <t>Wiesenberg (DA)</t>
  </si>
  <si>
    <t>O'rickenbach (WO)</t>
  </si>
  <si>
    <t>Grafenort (WO)</t>
  </si>
  <si>
    <t>Standardstapelhöhe (m) ungedeckte MP wenn kein Lager ausgewiesen</t>
  </si>
  <si>
    <t>Milchvieh (Standardkuh 6'500 kg Milch)</t>
  </si>
  <si>
    <t>Korrektur Milchleistung
 über 6'500 kg</t>
  </si>
  <si>
    <t>Korrektur Milchleistung
über 6'500 kg</t>
  </si>
  <si>
    <t>Milchvieh (Standardmilchkuh: 6'500 kg Milch)</t>
  </si>
  <si>
    <t>Stapel-Mist
und Gülle (MG)</t>
  </si>
  <si>
    <t>Gülle
m3 (VG)</t>
  </si>
  <si>
    <t>Gülle
m3 (MG)</t>
  </si>
  <si>
    <t>Mist
t (LM25)</t>
  </si>
  <si>
    <t>Mist
t (LM50)</t>
  </si>
  <si>
    <t>Mist
t (LM75)</t>
  </si>
  <si>
    <t>Mist
t (M50)</t>
  </si>
  <si>
    <t>Mist
t (M100)</t>
  </si>
  <si>
    <t>100 LHP (GVE)</t>
  </si>
  <si>
    <t>100 MPP (GVE)</t>
  </si>
  <si>
    <r>
      <t xml:space="preserve">Minimale Lagerdauer für verrotteten Mist: </t>
    </r>
    <r>
      <rPr>
        <b/>
        <sz val="9"/>
        <rFont val="Arial"/>
        <family val="2"/>
      </rPr>
      <t>6.0 Monate</t>
    </r>
    <r>
      <rPr>
        <sz val="9"/>
        <rFont val="Arial"/>
        <family val="2"/>
      </rPr>
      <t xml:space="preserve"> (Tiefere Werte müssen begründet sein!)</t>
    </r>
  </si>
  <si>
    <t>Zone wählen</t>
  </si>
  <si>
    <t>Gemeinde wählen</t>
  </si>
  <si>
    <r>
      <t xml:space="preserve">nur Gülle
(Vollgülle </t>
    </r>
    <r>
      <rPr>
        <b/>
        <sz val="8"/>
        <rFont val="Arial"/>
        <family val="2"/>
      </rPr>
      <t>VG</t>
    </r>
    <r>
      <rPr>
        <sz val="8"/>
        <rFont val="Arial"/>
        <family val="2"/>
      </rPr>
      <t>)</t>
    </r>
  </si>
  <si>
    <r>
      <t>Stapel-Mist (</t>
    </r>
    <r>
      <rPr>
        <b/>
        <sz val="8"/>
        <rFont val="Arial"/>
        <family val="2"/>
      </rPr>
      <t>M50</t>
    </r>
    <r>
      <rPr>
        <sz val="8"/>
        <rFont val="Arial"/>
        <family val="2"/>
      </rPr>
      <t>)
und Gülle (</t>
    </r>
    <r>
      <rPr>
        <b/>
        <sz val="8"/>
        <rFont val="Arial"/>
        <family val="2"/>
      </rPr>
      <t>MG</t>
    </r>
    <r>
      <rPr>
        <sz val="8"/>
        <rFont val="Arial"/>
        <family val="2"/>
      </rPr>
      <t>)</t>
    </r>
  </si>
  <si>
    <r>
      <t>nur Mist
(</t>
    </r>
    <r>
      <rPr>
        <b/>
        <sz val="8"/>
        <rFont val="Arial"/>
        <family val="2"/>
      </rPr>
      <t>M100</t>
    </r>
    <r>
      <rPr>
        <sz val="8"/>
        <rFont val="Arial"/>
        <family val="2"/>
      </rPr>
      <t>)</t>
    </r>
  </si>
  <si>
    <r>
      <rPr>
        <b/>
        <sz val="8"/>
        <rFont val="Arial"/>
        <family val="2"/>
      </rPr>
      <t>LM25</t>
    </r>
    <r>
      <rPr>
        <sz val="8"/>
        <rFont val="Arial"/>
        <family val="2"/>
      </rPr>
      <t xml:space="preserve"> u. viel Gülle
10-40 % eingestreut</t>
    </r>
  </si>
  <si>
    <r>
      <rPr>
        <b/>
        <sz val="8"/>
        <rFont val="Arial"/>
        <family val="2"/>
      </rPr>
      <t>LM50</t>
    </r>
    <r>
      <rPr>
        <sz val="8"/>
        <rFont val="Arial"/>
        <family val="2"/>
      </rPr>
      <t xml:space="preserve"> u. Gülle
40-60 % eingestreut</t>
    </r>
  </si>
  <si>
    <r>
      <rPr>
        <b/>
        <sz val="8"/>
        <rFont val="Arial"/>
        <family val="2"/>
      </rPr>
      <t>LM75</t>
    </r>
    <r>
      <rPr>
        <sz val="8"/>
        <rFont val="Arial"/>
        <family val="2"/>
      </rPr>
      <t xml:space="preserve"> u. wenig Gülle
60-90 % eingestreut</t>
    </r>
  </si>
  <si>
    <t xml:space="preserve">Ort / Datum: </t>
  </si>
  <si>
    <t xml:space="preserve">Unterschrift:  </t>
  </si>
  <si>
    <t>Volumen</t>
  </si>
  <si>
    <t>Fläche</t>
  </si>
  <si>
    <t>Beurteilung des Lagervolumen</t>
  </si>
  <si>
    <t>bestehender Güllelagerraum</t>
  </si>
  <si>
    <t>Total Gesamtanfall (Hofdünger) pro Jahr</t>
  </si>
  <si>
    <r>
      <t>Total Güllenanfall verdünnt (m</t>
    </r>
    <r>
      <rPr>
        <b/>
        <i/>
        <vertAlign val="superscript"/>
        <sz val="14"/>
        <rFont val="Arial"/>
        <family val="2"/>
      </rPr>
      <t>3</t>
    </r>
    <r>
      <rPr>
        <b/>
        <i/>
        <sz val="14"/>
        <rFont val="Arial"/>
        <family val="2"/>
      </rPr>
      <t>)</t>
    </r>
  </si>
  <si>
    <t>Total Verdünnungs-, Abwasser pro Jahr in die Gülle</t>
  </si>
  <si>
    <r>
      <t>Güllenanfall verdünnt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</si>
  <si>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Verdünnungs-, Abwasser in die Gülle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</si>
  <si>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t xml:space="preserve">AMT FÜR LANDWIRTSCHAFT
                 </t>
  </si>
  <si>
    <t>LANDWIRTSCHAFTS- UND
UMWELTDIREKTION</t>
  </si>
  <si>
    <t xml:space="preserve">AMT FÜR LANDWIRTSCHAFT
   </t>
  </si>
  <si>
    <t xml:space="preserve">AMT FÜR LANDWIRTSCHAFT
  </t>
  </si>
  <si>
    <t>Anzahl Melkeinheiten (ME)</t>
  </si>
  <si>
    <t>6.0+0.6xME</t>
  </si>
  <si>
    <t>Tankvolumen in Liter (L)</t>
  </si>
  <si>
    <t>0.018xL</t>
  </si>
  <si>
    <t>Standplätze im Melkstand</t>
  </si>
  <si>
    <t>Rohrmelkanlage oder Melkstand</t>
  </si>
  <si>
    <t>Anzahl AMS (Stk.)</t>
  </si>
  <si>
    <t>AMS (automatisches Melksystem)</t>
  </si>
  <si>
    <t>36.0+6.0xME</t>
  </si>
  <si>
    <t>Fläche von Flachsilo nicht überdacht</t>
  </si>
  <si>
    <t>48.0+6.0xME</t>
  </si>
  <si>
    <t>Anzahl Standplätze (S)</t>
  </si>
  <si>
    <t>6.0xS</t>
  </si>
  <si>
    <t>Freie Korrektur für ... :</t>
  </si>
  <si>
    <t>Nebenerwerb/Restauration:</t>
  </si>
  <si>
    <t>Faktor*</t>
  </si>
  <si>
    <t>* Vollzugshilfe Modul Baulicher Umweltschutz 2011 BAFU, BLW</t>
  </si>
  <si>
    <t>Normale sanitäre Verhältnisse (Waschmasch., Dusche/Bad, WC)</t>
  </si>
  <si>
    <t>Einfache sanitäre Einrichtungen</t>
  </si>
  <si>
    <t>Sonderfälle mit dauernd deutlich geringerem Anfall</t>
  </si>
  <si>
    <t xml:space="preserve">SOLL-Fläche </t>
  </si>
  <si>
    <t xml:space="preserve">Ø St.höhe: </t>
  </si>
  <si>
    <t>ALW</t>
  </si>
  <si>
    <t>Stansstaderstrasse 59, 6371 Stans
041 618 40 40, www.nw.ch</t>
  </si>
  <si>
    <t>Version 01.14.
21.01.2014/sn</t>
  </si>
</sst>
</file>

<file path=xl/styles.xml><?xml version="1.0" encoding="utf-8"?>
<styleSheet xmlns="http://schemas.openxmlformats.org/spreadsheetml/2006/main">
  <numFmts count="14">
    <numFmt numFmtId="164" formatCode="#,##0\ &quot;kg&quot;"/>
    <numFmt numFmtId="165" formatCode="0.0"/>
    <numFmt numFmtId="166" formatCode="0.000"/>
    <numFmt numFmtId="167" formatCode="0\ &quot;m2&quot;"/>
    <numFmt numFmtId="168" formatCode="0.0\ &quot;Monate&quot;"/>
    <numFmt numFmtId="169" formatCode="dd/\ mmmm\ yyyy"/>
    <numFmt numFmtId="170" formatCode="#,##0.0"/>
    <numFmt numFmtId="171" formatCode="&quot;1.0 : &quot;0.00"/>
    <numFmt numFmtId="172" formatCode="#,##0.0_ ;\-#,##0.0\ "/>
    <numFmt numFmtId="173" formatCode="#,##0.0;;"/>
    <numFmt numFmtId="174" formatCode="0.0000"/>
    <numFmt numFmtId="175" formatCode="#,##0.0000"/>
    <numFmt numFmtId="176" formatCode="#,##0\ &quot;%&quot;"/>
    <numFmt numFmtId="177" formatCode="#,##0.00_ ;\-#,##0.00\ "/>
  </numFmts>
  <fonts count="29">
    <font>
      <sz val="10"/>
      <name val="Arial"/>
    </font>
    <font>
      <sz val="14"/>
      <name val="Helvetica"/>
    </font>
    <font>
      <sz val="9"/>
      <name val="Helvetica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Gill Sans"/>
      <family val="2"/>
    </font>
    <font>
      <sz val="28"/>
      <name val="Arial Black"/>
      <family val="2"/>
    </font>
    <font>
      <b/>
      <sz val="28"/>
      <name val="Arial Black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vertAlign val="superscript"/>
      <sz val="11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sz val="18"/>
      <name val="Arial Black"/>
      <family val="2"/>
    </font>
    <font>
      <sz val="11"/>
      <name val="Arial"/>
      <family val="2"/>
    </font>
    <font>
      <b/>
      <vertAlign val="superscript"/>
      <sz val="10"/>
      <name val="Algerian"/>
      <family val="5"/>
    </font>
    <font>
      <b/>
      <vertAlign val="superscript"/>
      <sz val="10"/>
      <name val="Arial"/>
      <family val="2"/>
    </font>
    <font>
      <sz val="7"/>
      <name val="Arial"/>
      <family val="2"/>
    </font>
    <font>
      <sz val="9"/>
      <name val="Arial Black"/>
      <family val="2"/>
    </font>
    <font>
      <b/>
      <sz val="8"/>
      <name val="Arial"/>
      <family val="2"/>
    </font>
    <font>
      <b/>
      <i/>
      <vertAlign val="superscript"/>
      <sz val="14"/>
      <name val="Arial"/>
      <family val="2"/>
    </font>
    <font>
      <sz val="8"/>
      <name val="Gill San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>
      <protection locked="0"/>
    </xf>
  </cellStyleXfs>
  <cellXfs count="79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" fontId="0" fillId="6" borderId="0" xfId="0" applyNumberFormat="1" applyFill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4" fontId="0" fillId="6" borderId="0" xfId="0" applyNumberFormat="1" applyFill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4" fontId="0" fillId="0" borderId="0" xfId="0" applyNumberFormat="1" applyFill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166" fontId="0" fillId="0" borderId="2" xfId="0" applyNumberFormat="1" applyBorder="1" applyAlignment="1" applyProtection="1">
      <alignment vertical="center"/>
    </xf>
    <xf numFmtId="4" fontId="4" fillId="0" borderId="4" xfId="0" applyNumberFormat="1" applyFont="1" applyFill="1" applyBorder="1" applyAlignment="1" applyProtection="1">
      <alignment horizontal="left" vertical="center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4" fontId="4" fillId="0" borderId="5" xfId="0" applyNumberFormat="1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66" fontId="4" fillId="0" borderId="7" xfId="0" applyNumberFormat="1" applyFont="1" applyFill="1" applyBorder="1" applyAlignment="1" applyProtection="1">
      <alignment horizontal="center" vertical="center" wrapText="1"/>
    </xf>
    <xf numFmtId="4" fontId="7" fillId="7" borderId="6" xfId="0" applyNumberFormat="1" applyFont="1" applyFill="1" applyBorder="1" applyAlignment="1" applyProtection="1">
      <alignment horizontal="center" vertical="center" textRotation="90" wrapText="1"/>
    </xf>
    <xf numFmtId="4" fontId="7" fillId="0" borderId="6" xfId="0" applyNumberFormat="1" applyFont="1" applyFill="1" applyBorder="1" applyAlignment="1" applyProtection="1">
      <alignment horizontal="center" vertical="center" textRotation="90" wrapText="1"/>
    </xf>
    <xf numFmtId="4" fontId="7" fillId="0" borderId="9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center" vertical="center" textRotation="90" wrapText="1"/>
    </xf>
    <xf numFmtId="0" fontId="3" fillId="0" borderId="5" xfId="0" applyNumberFormat="1" applyFont="1" applyFill="1" applyBorder="1" applyAlignment="1" applyProtection="1">
      <alignment horizontal="center" vertical="center"/>
    </xf>
    <xf numFmtId="1" fontId="4" fillId="0" borderId="10" xfId="0" applyNumberFormat="1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right" vertical="center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2" fontId="4" fillId="0" borderId="10" xfId="0" applyNumberFormat="1" applyFont="1" applyFill="1" applyBorder="1" applyAlignment="1" applyProtection="1">
      <alignment horizontal="center" vertical="center"/>
    </xf>
    <xf numFmtId="166" fontId="4" fillId="0" borderId="10" xfId="0" applyNumberFormat="1" applyFont="1" applyFill="1" applyBorder="1" applyAlignment="1" applyProtection="1">
      <alignment horizontal="center" vertical="center"/>
    </xf>
    <xf numFmtId="4" fontId="4" fillId="7" borderId="10" xfId="0" applyNumberFormat="1" applyFont="1" applyFill="1" applyBorder="1" applyAlignment="1" applyProtection="1">
      <alignment horizontal="center" vertical="center"/>
    </xf>
    <xf numFmtId="4" fontId="4" fillId="7" borderId="13" xfId="0" applyNumberFormat="1" applyFont="1" applyFill="1" applyBorder="1" applyAlignment="1" applyProtection="1">
      <alignment horizontal="center" vertical="center"/>
    </xf>
    <xf numFmtId="4" fontId="4" fillId="0" borderId="14" xfId="0" applyNumberFormat="1" applyFont="1" applyFill="1" applyBorder="1" applyAlignment="1" applyProtection="1">
      <alignment horizontal="center" vertical="center"/>
    </xf>
    <xf numFmtId="4" fontId="4" fillId="0" borderId="10" xfId="0" applyNumberFormat="1" applyFont="1" applyFill="1" applyBorder="1" applyAlignment="1" applyProtection="1">
      <alignment horizontal="center" vertical="center"/>
    </xf>
    <xf numFmtId="4" fontId="4" fillId="8" borderId="15" xfId="0" applyNumberFormat="1" applyFont="1" applyFill="1" applyBorder="1" applyAlignment="1" applyProtection="1">
      <alignment horizontal="center" vertical="center"/>
    </xf>
    <xf numFmtId="175" fontId="4" fillId="0" borderId="15" xfId="0" applyNumberFormat="1" applyFont="1" applyFill="1" applyBorder="1" applyAlignment="1" applyProtection="1">
      <alignment horizontal="center" vertical="center"/>
    </xf>
    <xf numFmtId="1" fontId="7" fillId="0" borderId="16" xfId="0" applyNumberFormat="1" applyFont="1" applyFill="1" applyBorder="1" applyAlignment="1" applyProtection="1">
      <alignment vertical="center"/>
    </xf>
    <xf numFmtId="1" fontId="4" fillId="0" borderId="17" xfId="0" applyNumberFormat="1" applyFont="1" applyFill="1" applyBorder="1" applyAlignment="1" applyProtection="1">
      <alignment vertical="center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2" fontId="4" fillId="0" borderId="16" xfId="0" applyNumberFormat="1" applyFont="1" applyFill="1" applyBorder="1" applyAlignment="1" applyProtection="1">
      <alignment horizontal="center" vertical="center"/>
    </xf>
    <xf numFmtId="166" fontId="4" fillId="0" borderId="16" xfId="0" applyNumberFormat="1" applyFont="1" applyFill="1" applyBorder="1" applyAlignment="1" applyProtection="1">
      <alignment horizontal="center" vertical="center"/>
    </xf>
    <xf numFmtId="4" fontId="4" fillId="7" borderId="16" xfId="0" applyNumberFormat="1" applyFont="1" applyFill="1" applyBorder="1" applyAlignment="1" applyProtection="1">
      <alignment horizontal="center" vertical="center"/>
    </xf>
    <xf numFmtId="4" fontId="4" fillId="7" borderId="18" xfId="0" applyNumberFormat="1" applyFont="1" applyFill="1" applyBorder="1" applyAlignment="1" applyProtection="1">
      <alignment horizontal="center" vertical="center"/>
    </xf>
    <xf numFmtId="4" fontId="4" fillId="0" borderId="19" xfId="0" applyNumberFormat="1" applyFont="1" applyFill="1" applyBorder="1" applyAlignment="1" applyProtection="1">
      <alignment horizontal="center" vertical="center"/>
    </xf>
    <xf numFmtId="4" fontId="4" fillId="0" borderId="20" xfId="0" applyNumberFormat="1" applyFont="1" applyFill="1" applyBorder="1" applyAlignment="1" applyProtection="1">
      <alignment horizontal="center" vertical="center"/>
    </xf>
    <xf numFmtId="4" fontId="4" fillId="8" borderId="21" xfId="0" applyNumberFormat="1" applyFont="1" applyFill="1" applyBorder="1" applyAlignment="1" applyProtection="1">
      <alignment horizontal="center" vertical="center"/>
    </xf>
    <xf numFmtId="175" fontId="4" fillId="0" borderId="9" xfId="0" applyNumberFormat="1" applyFont="1" applyFill="1" applyBorder="1" applyAlignment="1" applyProtection="1">
      <alignment horizontal="center" vertical="center"/>
    </xf>
    <xf numFmtId="175" fontId="4" fillId="0" borderId="22" xfId="0" applyNumberFormat="1" applyFont="1" applyFill="1" applyBorder="1" applyAlignment="1" applyProtection="1">
      <alignment horizontal="center" vertical="center"/>
    </xf>
    <xf numFmtId="2" fontId="4" fillId="0" borderId="16" xfId="0" applyNumberFormat="1" applyFont="1" applyFill="1" applyBorder="1" applyAlignment="1" applyProtection="1">
      <alignment vertical="center"/>
    </xf>
    <xf numFmtId="2" fontId="4" fillId="0" borderId="17" xfId="0" applyNumberFormat="1" applyFont="1" applyFill="1" applyBorder="1" applyAlignment="1" applyProtection="1">
      <alignment vertical="center"/>
    </xf>
    <xf numFmtId="4" fontId="4" fillId="0" borderId="16" xfId="0" applyNumberFormat="1" applyFont="1" applyFill="1" applyBorder="1" applyAlignment="1" applyProtection="1">
      <alignment horizontal="center" vertical="center"/>
    </xf>
    <xf numFmtId="4" fontId="4" fillId="7" borderId="23" xfId="0" applyNumberFormat="1" applyFont="1" applyFill="1" applyBorder="1" applyAlignment="1" applyProtection="1">
      <alignment horizontal="center" vertical="center"/>
    </xf>
    <xf numFmtId="4" fontId="4" fillId="0" borderId="24" xfId="0" applyNumberFormat="1" applyFont="1" applyFill="1" applyBorder="1" applyAlignment="1" applyProtection="1">
      <alignment horizontal="center" vertical="center"/>
    </xf>
    <xf numFmtId="2" fontId="4" fillId="0" borderId="25" xfId="0" applyNumberFormat="1" applyFont="1" applyFill="1" applyBorder="1" applyAlignment="1" applyProtection="1">
      <alignment vertical="center"/>
    </xf>
    <xf numFmtId="2" fontId="4" fillId="0" borderId="8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horizontal="center" vertical="center"/>
    </xf>
    <xf numFmtId="166" fontId="4" fillId="0" borderId="22" xfId="0" applyNumberFormat="1" applyFont="1" applyFill="1" applyBorder="1" applyAlignment="1" applyProtection="1">
      <alignment horizontal="center" vertical="center"/>
    </xf>
    <xf numFmtId="4" fontId="4" fillId="8" borderId="7" xfId="0" applyNumberFormat="1" applyFont="1" applyFill="1" applyBorder="1" applyAlignment="1" applyProtection="1">
      <alignment horizontal="center" vertical="center"/>
    </xf>
    <xf numFmtId="4" fontId="4" fillId="8" borderId="26" xfId="0" applyNumberFormat="1" applyFont="1" applyFill="1" applyBorder="1" applyAlignment="1" applyProtection="1">
      <alignment horizontal="center" vertical="center"/>
    </xf>
    <xf numFmtId="4" fontId="4" fillId="8" borderId="27" xfId="0" applyNumberFormat="1" applyFont="1" applyFill="1" applyBorder="1" applyAlignment="1" applyProtection="1">
      <alignment horizontal="center" vertical="center"/>
    </xf>
    <xf numFmtId="4" fontId="4" fillId="8" borderId="25" xfId="0" applyNumberFormat="1" applyFont="1" applyFill="1" applyBorder="1" applyAlignment="1" applyProtection="1">
      <alignment horizontal="center" vertical="center"/>
    </xf>
    <xf numFmtId="4" fontId="4" fillId="8" borderId="28" xfId="0" applyNumberFormat="1" applyFont="1" applyFill="1" applyBorder="1" applyAlignment="1" applyProtection="1">
      <alignment horizontal="center" vertical="center"/>
    </xf>
    <xf numFmtId="4" fontId="4" fillId="8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4" fontId="15" fillId="0" borderId="0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center" vertical="center" textRotation="255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center" vertical="center"/>
    </xf>
    <xf numFmtId="2" fontId="4" fillId="0" borderId="10" xfId="0" applyNumberFormat="1" applyFont="1" applyFill="1" applyBorder="1" applyAlignment="1" applyProtection="1">
      <alignment vertical="center"/>
    </xf>
    <xf numFmtId="2" fontId="4" fillId="0" borderId="29" xfId="0" applyNumberFormat="1" applyFont="1" applyFill="1" applyBorder="1" applyAlignment="1" applyProtection="1">
      <alignment vertical="center"/>
    </xf>
    <xf numFmtId="4" fontId="4" fillId="9" borderId="16" xfId="0" applyNumberFormat="1" applyFont="1" applyFill="1" applyBorder="1" applyAlignment="1" applyProtection="1">
      <alignment horizontal="center" vertical="center"/>
    </xf>
    <xf numFmtId="4" fontId="4" fillId="9" borderId="23" xfId="0" applyNumberFormat="1" applyFont="1" applyFill="1" applyBorder="1" applyAlignment="1" applyProtection="1">
      <alignment horizontal="center" vertical="center"/>
    </xf>
    <xf numFmtId="4" fontId="4" fillId="9" borderId="24" xfId="0" applyNumberFormat="1" applyFont="1" applyFill="1" applyBorder="1" applyAlignment="1" applyProtection="1">
      <alignment horizontal="center" vertical="center"/>
    </xf>
    <xf numFmtId="2" fontId="4" fillId="0" borderId="7" xfId="0" applyNumberFormat="1" applyFont="1" applyFill="1" applyBorder="1" applyAlignment="1" applyProtection="1">
      <alignment vertical="center"/>
    </xf>
    <xf numFmtId="2" fontId="4" fillId="0" borderId="7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4" fontId="4" fillId="9" borderId="10" xfId="0" applyNumberFormat="1" applyFont="1" applyFill="1" applyBorder="1" applyAlignment="1" applyProtection="1">
      <alignment horizontal="center" vertical="center"/>
    </xf>
    <xf numFmtId="4" fontId="4" fillId="9" borderId="13" xfId="0" applyNumberFormat="1" applyFont="1" applyFill="1" applyBorder="1" applyAlignment="1" applyProtection="1">
      <alignment horizontal="center" vertical="center"/>
    </xf>
    <xf numFmtId="4" fontId="4" fillId="9" borderId="14" xfId="0" applyNumberFormat="1" applyFont="1" applyFill="1" applyBorder="1" applyAlignment="1" applyProtection="1">
      <alignment horizontal="center" vertical="center"/>
    </xf>
    <xf numFmtId="174" fontId="4" fillId="0" borderId="16" xfId="0" applyNumberFormat="1" applyFont="1" applyFill="1" applyBorder="1" applyAlignment="1" applyProtection="1">
      <alignment horizontal="center" vertical="center"/>
    </xf>
    <xf numFmtId="4" fontId="15" fillId="0" borderId="0" xfId="0" applyNumberFormat="1" applyFont="1" applyFill="1" applyBorder="1" applyAlignment="1" applyProtection="1">
      <alignment horizontal="center" vertical="center"/>
    </xf>
    <xf numFmtId="0" fontId="0" fillId="9" borderId="15" xfId="0" applyFill="1" applyBorder="1" applyAlignment="1" applyProtection="1">
      <alignment vertical="center"/>
    </xf>
    <xf numFmtId="4" fontId="4" fillId="9" borderId="15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0" fontId="0" fillId="9" borderId="30" xfId="0" applyFill="1" applyBorder="1" applyAlignment="1" applyProtection="1">
      <alignment vertical="center"/>
    </xf>
    <xf numFmtId="4" fontId="4" fillId="9" borderId="20" xfId="0" applyNumberFormat="1" applyFont="1" applyFill="1" applyBorder="1" applyAlignment="1" applyProtection="1">
      <alignment horizontal="center" vertical="center"/>
    </xf>
    <xf numFmtId="4" fontId="4" fillId="9" borderId="30" xfId="0" applyNumberFormat="1" applyFont="1" applyFill="1" applyBorder="1" applyAlignment="1" applyProtection="1">
      <alignment horizontal="center" vertical="center"/>
    </xf>
    <xf numFmtId="4" fontId="4" fillId="0" borderId="30" xfId="0" applyNumberFormat="1" applyFont="1" applyFill="1" applyBorder="1" applyAlignment="1" applyProtection="1">
      <alignment horizontal="center" vertical="center"/>
    </xf>
    <xf numFmtId="4" fontId="4" fillId="8" borderId="30" xfId="0" applyNumberFormat="1" applyFont="1" applyFill="1" applyBorder="1" applyAlignment="1" applyProtection="1">
      <alignment horizontal="center" vertical="center"/>
    </xf>
    <xf numFmtId="0" fontId="0" fillId="9" borderId="31" xfId="0" applyFill="1" applyBorder="1" applyAlignment="1" applyProtection="1">
      <alignment vertical="center"/>
    </xf>
    <xf numFmtId="4" fontId="4" fillId="8" borderId="22" xfId="0" applyNumberFormat="1" applyFont="1" applyFill="1" applyBorder="1" applyAlignment="1" applyProtection="1">
      <alignment horizontal="center" vertical="center"/>
    </xf>
    <xf numFmtId="4" fontId="4" fillId="8" borderId="3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165" fontId="0" fillId="0" borderId="0" xfId="0" applyNumberFormat="1" applyProtection="1"/>
    <xf numFmtId="165" fontId="3" fillId="0" borderId="0" xfId="0" applyNumberFormat="1" applyFont="1" applyProtection="1"/>
    <xf numFmtId="0" fontId="0" fillId="0" borderId="5" xfId="0" applyBorder="1" applyAlignment="1" applyProtection="1">
      <alignment vertical="center"/>
    </xf>
    <xf numFmtId="165" fontId="4" fillId="0" borderId="21" xfId="0" applyNumberFormat="1" applyFont="1" applyFill="1" applyBorder="1" applyAlignment="1" applyProtection="1">
      <alignment horizontal="center" vertical="center"/>
    </xf>
    <xf numFmtId="0" fontId="11" fillId="10" borderId="17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left" vertical="center" wrapText="1"/>
    </xf>
    <xf numFmtId="4" fontId="0" fillId="0" borderId="0" xfId="0" applyNumberFormat="1" applyBorder="1" applyAlignment="1" applyProtection="1">
      <alignment vertical="center"/>
    </xf>
    <xf numFmtId="3" fontId="0" fillId="0" borderId="0" xfId="0" applyNumberFormat="1" applyBorder="1" applyAlignment="1" applyProtection="1">
      <alignment vertical="center"/>
    </xf>
    <xf numFmtId="170" fontId="9" fillId="0" borderId="0" xfId="0" applyNumberFormat="1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/>
    </xf>
    <xf numFmtId="4" fontId="12" fillId="0" borderId="0" xfId="0" applyNumberFormat="1" applyFont="1" applyBorder="1" applyAlignment="1" applyProtection="1">
      <alignment vertical="center"/>
    </xf>
    <xf numFmtId="3" fontId="12" fillId="0" borderId="0" xfId="0" applyNumberFormat="1" applyFont="1" applyBorder="1" applyAlignment="1" applyProtection="1">
      <alignment vertical="center" wrapText="1"/>
    </xf>
    <xf numFmtId="170" fontId="12" fillId="0" borderId="0" xfId="0" applyNumberFormat="1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4" fontId="14" fillId="0" borderId="0" xfId="0" applyNumberFormat="1" applyFont="1" applyBorder="1" applyAlignment="1" applyProtection="1">
      <alignment horizontal="left" vertical="center"/>
    </xf>
    <xf numFmtId="3" fontId="14" fillId="0" borderId="0" xfId="0" applyNumberFormat="1" applyFont="1" applyBorder="1" applyAlignment="1" applyProtection="1">
      <alignment horizontal="left" vertical="center"/>
    </xf>
    <xf numFmtId="170" fontId="14" fillId="0" borderId="0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8" fillId="11" borderId="0" xfId="0" applyNumberFormat="1" applyFont="1" applyFill="1" applyBorder="1" applyAlignment="1" applyProtection="1">
      <alignment horizontal="left" vertical="center"/>
    </xf>
    <xf numFmtId="0" fontId="3" fillId="11" borderId="0" xfId="0" applyNumberFormat="1" applyFont="1" applyFill="1" applyBorder="1" applyAlignment="1" applyProtection="1">
      <alignment vertical="center"/>
    </xf>
    <xf numFmtId="4" fontId="3" fillId="11" borderId="0" xfId="0" applyNumberFormat="1" applyFont="1" applyFill="1" applyBorder="1" applyAlignment="1" applyProtection="1">
      <alignment horizontal="center" vertical="center"/>
    </xf>
    <xf numFmtId="3" fontId="3" fillId="11" borderId="0" xfId="0" applyNumberFormat="1" applyFont="1" applyFill="1" applyBorder="1" applyAlignment="1" applyProtection="1">
      <alignment vertical="center"/>
    </xf>
    <xf numFmtId="170" fontId="3" fillId="11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170" fontId="4" fillId="0" borderId="0" xfId="0" applyNumberFormat="1" applyFont="1" applyFill="1" applyBorder="1" applyAlignment="1" applyProtection="1">
      <alignment horizontal="centerContinuous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3" fontId="11" fillId="0" borderId="0" xfId="0" applyNumberFormat="1" applyFont="1" applyFill="1" applyBorder="1" applyAlignment="1" applyProtection="1">
      <alignment vertical="center"/>
    </xf>
    <xf numFmtId="3" fontId="15" fillId="0" borderId="0" xfId="0" applyNumberFormat="1" applyFont="1" applyAlignment="1" applyProtection="1">
      <alignment horizontal="left" vertical="center"/>
    </xf>
    <xf numFmtId="3" fontId="0" fillId="0" borderId="0" xfId="0" applyNumberFormat="1" applyAlignment="1" applyProtection="1">
      <alignment vertical="center"/>
    </xf>
    <xf numFmtId="3" fontId="11" fillId="0" borderId="0" xfId="0" applyNumberFormat="1" applyFont="1" applyFill="1" applyBorder="1" applyAlignment="1" applyProtection="1">
      <alignment horizontal="centerContinuous" vertical="center"/>
    </xf>
    <xf numFmtId="3" fontId="15" fillId="0" borderId="0" xfId="0" applyNumberFormat="1" applyFont="1" applyFill="1" applyBorder="1" applyAlignment="1" applyProtection="1">
      <alignment horizontal="left" vertical="center"/>
    </xf>
    <xf numFmtId="3" fontId="10" fillId="0" borderId="0" xfId="0" applyNumberFormat="1" applyFont="1" applyFill="1" applyBorder="1" applyAlignment="1" applyProtection="1">
      <alignment horizontal="right" vertical="center"/>
    </xf>
    <xf numFmtId="170" fontId="0" fillId="0" borderId="0" xfId="0" applyNumberFormat="1" applyAlignment="1" applyProtection="1">
      <alignment vertical="center"/>
    </xf>
    <xf numFmtId="0" fontId="11" fillId="0" borderId="0" xfId="0" applyFont="1" applyAlignment="1" applyProtection="1">
      <alignment vertical="center"/>
    </xf>
    <xf numFmtId="4" fontId="10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vertical="center"/>
    </xf>
    <xf numFmtId="4" fontId="11" fillId="0" borderId="0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0" fillId="0" borderId="0" xfId="0" applyNumberFormat="1" applyFill="1" applyAlignment="1" applyProtection="1">
      <alignment vertical="center"/>
    </xf>
    <xf numFmtId="3" fontId="11" fillId="0" borderId="0" xfId="0" applyNumberFormat="1" applyFont="1" applyFill="1" applyBorder="1" applyAlignment="1" applyProtection="1">
      <alignment horizontal="left" vertical="center"/>
    </xf>
    <xf numFmtId="170" fontId="11" fillId="0" borderId="0" xfId="0" applyNumberFormat="1" applyFont="1" applyFill="1" applyBorder="1" applyAlignment="1" applyProtection="1">
      <alignment horizontal="left" vertical="center"/>
    </xf>
    <xf numFmtId="0" fontId="6" fillId="0" borderId="33" xfId="0" applyNumberFormat="1" applyFont="1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vertical="center"/>
    </xf>
    <xf numFmtId="0" fontId="6" fillId="0" borderId="33" xfId="0" applyNumberFormat="1" applyFont="1" applyFill="1" applyBorder="1" applyAlignment="1" applyProtection="1">
      <alignment horizontal="center" vertical="center"/>
    </xf>
    <xf numFmtId="0" fontId="6" fillId="0" borderId="34" xfId="0" applyNumberFormat="1" applyFont="1" applyFill="1" applyBorder="1" applyAlignment="1" applyProtection="1">
      <alignment horizontal="center" vertical="center" wrapText="1"/>
    </xf>
    <xf numFmtId="0" fontId="6" fillId="0" borderId="35" xfId="0" applyNumberFormat="1" applyFont="1" applyFill="1" applyBorder="1" applyAlignment="1" applyProtection="1">
      <alignment horizontal="left" vertical="center"/>
    </xf>
    <xf numFmtId="0" fontId="6" fillId="0" borderId="36" xfId="0" applyNumberFormat="1" applyFont="1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vertical="center"/>
    </xf>
    <xf numFmtId="0" fontId="6" fillId="0" borderId="36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7" xfId="0" applyNumberFormat="1" applyFont="1" applyFill="1" applyBorder="1" applyAlignment="1" applyProtection="1">
      <alignment horizontal="center" vertical="center" wrapText="1"/>
    </xf>
    <xf numFmtId="0" fontId="15" fillId="0" borderId="38" xfId="0" applyNumberFormat="1" applyFont="1" applyFill="1" applyBorder="1" applyAlignment="1" applyProtection="1">
      <alignment horizontal="left" vertical="center"/>
    </xf>
    <xf numFmtId="0" fontId="21" fillId="0" borderId="39" xfId="0" applyFont="1" applyFill="1" applyBorder="1" applyAlignment="1" applyProtection="1">
      <alignment vertical="center"/>
    </xf>
    <xf numFmtId="0" fontId="15" fillId="0" borderId="39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vertical="center"/>
    </xf>
    <xf numFmtId="4" fontId="21" fillId="0" borderId="40" xfId="0" applyNumberFormat="1" applyFont="1" applyFill="1" applyBorder="1" applyAlignment="1" applyProtection="1">
      <alignment horizontal="center" vertical="center"/>
    </xf>
    <xf numFmtId="170" fontId="21" fillId="0" borderId="40" xfId="0" applyNumberFormat="1" applyFont="1" applyFill="1" applyBorder="1" applyAlignment="1" applyProtection="1">
      <alignment horizontal="center" vertical="center"/>
    </xf>
    <xf numFmtId="170" fontId="21" fillId="0" borderId="41" xfId="0" applyNumberFormat="1" applyFont="1" applyFill="1" applyBorder="1" applyAlignment="1" applyProtection="1">
      <alignment horizontal="center" vertical="center"/>
    </xf>
    <xf numFmtId="0" fontId="15" fillId="0" borderId="42" xfId="0" applyNumberFormat="1" applyFont="1" applyFill="1" applyBorder="1" applyAlignment="1" applyProtection="1">
      <alignment horizontal="left" vertical="center"/>
    </xf>
    <xf numFmtId="0" fontId="21" fillId="0" borderId="31" xfId="0" applyFont="1" applyFill="1" applyBorder="1" applyAlignment="1" applyProtection="1">
      <alignment vertical="center"/>
    </xf>
    <xf numFmtId="0" fontId="15" fillId="0" borderId="31" xfId="0" applyNumberFormat="1" applyFont="1" applyFill="1" applyBorder="1" applyAlignment="1" applyProtection="1">
      <alignment horizontal="center" vertical="center"/>
    </xf>
    <xf numFmtId="4" fontId="21" fillId="0" borderId="30" xfId="0" applyNumberFormat="1" applyFont="1" applyFill="1" applyBorder="1" applyAlignment="1" applyProtection="1">
      <alignment horizontal="center" vertical="center"/>
    </xf>
    <xf numFmtId="170" fontId="21" fillId="0" borderId="30" xfId="0" applyNumberFormat="1" applyFont="1" applyFill="1" applyBorder="1" applyAlignment="1" applyProtection="1">
      <alignment horizontal="center" vertical="center"/>
    </xf>
    <xf numFmtId="170" fontId="21" fillId="0" borderId="43" xfId="0" applyNumberFormat="1" applyFont="1" applyFill="1" applyBorder="1" applyAlignment="1" applyProtection="1">
      <alignment horizontal="center" vertical="center"/>
    </xf>
    <xf numFmtId="0" fontId="15" fillId="0" borderId="44" xfId="0" applyNumberFormat="1" applyFont="1" applyFill="1" applyBorder="1" applyAlignment="1" applyProtection="1">
      <alignment vertical="center"/>
    </xf>
    <xf numFmtId="0" fontId="15" fillId="0" borderId="45" xfId="0" applyNumberFormat="1" applyFont="1" applyFill="1" applyBorder="1" applyAlignment="1" applyProtection="1">
      <alignment vertical="center"/>
    </xf>
    <xf numFmtId="0" fontId="15" fillId="0" borderId="45" xfId="0" applyFont="1" applyFill="1" applyBorder="1" applyAlignment="1" applyProtection="1">
      <alignment vertical="center"/>
    </xf>
    <xf numFmtId="0" fontId="15" fillId="0" borderId="45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vertical="center"/>
    </xf>
    <xf numFmtId="4" fontId="10" fillId="0" borderId="46" xfId="0" applyNumberFormat="1" applyFont="1" applyFill="1" applyBorder="1" applyAlignment="1" applyProtection="1">
      <alignment horizontal="center" vertical="center"/>
    </xf>
    <xf numFmtId="170" fontId="10" fillId="0" borderId="46" xfId="0" applyNumberFormat="1" applyFont="1" applyFill="1" applyBorder="1" applyAlignment="1" applyProtection="1">
      <alignment horizontal="center" vertical="center"/>
    </xf>
    <xf numFmtId="170" fontId="10" fillId="0" borderId="47" xfId="0" applyNumberFormat="1" applyFont="1" applyFill="1" applyBorder="1" applyAlignment="1" applyProtection="1">
      <alignment horizontal="center" vertical="center"/>
    </xf>
    <xf numFmtId="170" fontId="0" fillId="0" borderId="0" xfId="0" applyNumberFormat="1" applyFill="1" applyAlignment="1" applyProtection="1">
      <alignment vertical="center"/>
    </xf>
    <xf numFmtId="3" fontId="11" fillId="0" borderId="0" xfId="0" applyNumberFormat="1" applyFont="1" applyFill="1" applyBorder="1" applyAlignment="1" applyProtection="1">
      <alignment horizontal="center" vertical="center"/>
    </xf>
    <xf numFmtId="0" fontId="15" fillId="0" borderId="38" xfId="0" applyNumberFormat="1" applyFont="1" applyFill="1" applyBorder="1" applyAlignment="1" applyProtection="1">
      <alignment vertical="center"/>
    </xf>
    <xf numFmtId="0" fontId="10" fillId="0" borderId="39" xfId="0" applyNumberFormat="1" applyFont="1" applyFill="1" applyBorder="1" applyAlignment="1" applyProtection="1">
      <alignment vertical="center"/>
    </xf>
    <xf numFmtId="0" fontId="11" fillId="0" borderId="39" xfId="0" applyFont="1" applyFill="1" applyBorder="1" applyAlignment="1" applyProtection="1">
      <alignment vertical="center"/>
    </xf>
    <xf numFmtId="0" fontId="11" fillId="0" borderId="39" xfId="0" applyNumberFormat="1" applyFont="1" applyFill="1" applyBorder="1" applyAlignment="1" applyProtection="1">
      <alignment horizontal="left" vertical="center"/>
    </xf>
    <xf numFmtId="0" fontId="11" fillId="0" borderId="39" xfId="0" applyNumberFormat="1" applyFont="1" applyFill="1" applyBorder="1" applyAlignment="1" applyProtection="1">
      <alignment vertical="center"/>
    </xf>
    <xf numFmtId="4" fontId="11" fillId="0" borderId="39" xfId="0" applyNumberFormat="1" applyFont="1" applyFill="1" applyBorder="1" applyAlignment="1" applyProtection="1">
      <alignment vertical="center"/>
    </xf>
    <xf numFmtId="0" fontId="0" fillId="0" borderId="39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" fontId="11" fillId="0" borderId="40" xfId="0" applyNumberFormat="1" applyFont="1" applyFill="1" applyBorder="1" applyAlignment="1" applyProtection="1">
      <alignment horizontal="center" vertical="center"/>
    </xf>
    <xf numFmtId="3" fontId="21" fillId="0" borderId="40" xfId="0" applyNumberFormat="1" applyFont="1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vertical="center"/>
    </xf>
    <xf numFmtId="0" fontId="15" fillId="0" borderId="42" xfId="0" applyNumberFormat="1" applyFont="1" applyFill="1" applyBorder="1" applyAlignment="1" applyProtection="1">
      <alignment vertical="center"/>
    </xf>
    <xf numFmtId="0" fontId="10" fillId="0" borderId="31" xfId="0" applyNumberFormat="1" applyFont="1" applyFill="1" applyBorder="1" applyAlignment="1" applyProtection="1">
      <alignment vertical="center"/>
    </xf>
    <xf numFmtId="0" fontId="11" fillId="0" borderId="31" xfId="0" applyFont="1" applyFill="1" applyBorder="1" applyAlignment="1" applyProtection="1">
      <alignment vertical="center"/>
    </xf>
    <xf numFmtId="0" fontId="11" fillId="0" borderId="31" xfId="0" applyNumberFormat="1" applyFont="1" applyFill="1" applyBorder="1" applyAlignment="1" applyProtection="1">
      <alignment horizontal="left" vertical="center"/>
    </xf>
    <xf numFmtId="0" fontId="11" fillId="0" borderId="31" xfId="0" applyNumberFormat="1" applyFont="1" applyFill="1" applyBorder="1" applyAlignment="1" applyProtection="1">
      <alignment vertical="center"/>
    </xf>
    <xf numFmtId="4" fontId="15" fillId="0" borderId="31" xfId="0" applyNumberFormat="1" applyFont="1" applyFill="1" applyBorder="1" applyAlignment="1" applyProtection="1">
      <alignment horizontal="right" vertical="center"/>
    </xf>
    <xf numFmtId="0" fontId="0" fillId="0" borderId="31" xfId="0" applyFill="1" applyBorder="1" applyAlignment="1" applyProtection="1">
      <alignment vertical="center"/>
    </xf>
    <xf numFmtId="0" fontId="15" fillId="0" borderId="31" xfId="0" applyFont="1" applyFill="1" applyBorder="1" applyAlignment="1" applyProtection="1">
      <alignment horizontal="center" vertical="center"/>
    </xf>
    <xf numFmtId="3" fontId="24" fillId="0" borderId="30" xfId="0" applyNumberFormat="1" applyFont="1" applyFill="1" applyBorder="1" applyAlignment="1" applyProtection="1">
      <alignment horizontal="center" vertical="center"/>
    </xf>
    <xf numFmtId="3" fontId="21" fillId="0" borderId="30" xfId="0" applyNumberFormat="1" applyFont="1" applyFill="1" applyBorder="1" applyAlignment="1" applyProtection="1">
      <alignment horizontal="center" vertical="center"/>
    </xf>
    <xf numFmtId="3" fontId="24" fillId="0" borderId="43" xfId="0" applyNumberFormat="1" applyFont="1" applyFill="1" applyBorder="1" applyAlignment="1" applyProtection="1">
      <alignment horizontal="center" vertical="center"/>
    </xf>
    <xf numFmtId="0" fontId="10" fillId="0" borderId="45" xfId="0" applyNumberFormat="1" applyFont="1" applyFill="1" applyBorder="1" applyAlignment="1" applyProtection="1">
      <alignment vertical="center"/>
    </xf>
    <xf numFmtId="0" fontId="11" fillId="0" borderId="45" xfId="0" applyFont="1" applyFill="1" applyBorder="1" applyAlignment="1" applyProtection="1">
      <alignment vertical="center"/>
    </xf>
    <xf numFmtId="0" fontId="11" fillId="0" borderId="45" xfId="0" applyNumberFormat="1" applyFont="1" applyFill="1" applyBorder="1" applyAlignment="1" applyProtection="1">
      <alignment horizontal="left" vertical="center"/>
    </xf>
    <xf numFmtId="0" fontId="11" fillId="0" borderId="45" xfId="0" applyNumberFormat="1" applyFont="1" applyFill="1" applyBorder="1" applyAlignment="1" applyProtection="1">
      <alignment vertical="center"/>
    </xf>
    <xf numFmtId="4" fontId="11" fillId="0" borderId="45" xfId="0" applyNumberFormat="1" applyFont="1" applyFill="1" applyBorder="1" applyAlignment="1" applyProtection="1">
      <alignment vertical="center"/>
    </xf>
    <xf numFmtId="0" fontId="0" fillId="0" borderId="45" xfId="0" applyFill="1" applyBorder="1" applyAlignment="1" applyProtection="1">
      <alignment vertical="center"/>
    </xf>
    <xf numFmtId="0" fontId="0" fillId="0" borderId="46" xfId="0" applyFill="1" applyBorder="1" applyAlignment="1" applyProtection="1">
      <alignment vertical="center"/>
    </xf>
    <xf numFmtId="3" fontId="10" fillId="0" borderId="46" xfId="0" applyNumberFormat="1" applyFont="1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3" fontId="24" fillId="0" borderId="47" xfId="0" applyNumberFormat="1" applyFont="1" applyFill="1" applyBorder="1" applyAlignment="1" applyProtection="1">
      <alignment horizontal="center" vertical="center"/>
    </xf>
    <xf numFmtId="0" fontId="15" fillId="0" borderId="48" xfId="0" applyNumberFormat="1" applyFont="1" applyFill="1" applyBorder="1" applyAlignment="1" applyProtection="1">
      <alignment vertical="center"/>
    </xf>
    <xf numFmtId="0" fontId="15" fillId="0" borderId="33" xfId="0" applyNumberFormat="1" applyFont="1" applyFill="1" applyBorder="1" applyAlignment="1" applyProtection="1">
      <alignment vertical="center"/>
    </xf>
    <xf numFmtId="0" fontId="21" fillId="0" borderId="33" xfId="0" applyFont="1" applyFill="1" applyBorder="1" applyAlignment="1" applyProtection="1">
      <alignment vertical="center"/>
    </xf>
    <xf numFmtId="0" fontId="21" fillId="0" borderId="33" xfId="0" applyNumberFormat="1" applyFont="1" applyFill="1" applyBorder="1" applyAlignment="1" applyProtection="1">
      <alignment horizontal="left" vertical="center"/>
    </xf>
    <xf numFmtId="3" fontId="15" fillId="0" borderId="49" xfId="0" applyNumberFormat="1" applyFont="1" applyFill="1" applyBorder="1" applyAlignment="1" applyProtection="1">
      <alignment horizontal="center" vertical="center"/>
    </xf>
    <xf numFmtId="3" fontId="15" fillId="0" borderId="33" xfId="0" applyNumberFormat="1" applyFont="1" applyFill="1" applyBorder="1" applyAlignment="1" applyProtection="1">
      <alignment horizontal="center" vertical="center"/>
    </xf>
    <xf numFmtId="0" fontId="3" fillId="0" borderId="33" xfId="0" applyNumberFormat="1" applyFont="1" applyFill="1" applyBorder="1" applyAlignment="1" applyProtection="1">
      <alignment vertical="center"/>
    </xf>
    <xf numFmtId="3" fontId="21" fillId="0" borderId="33" xfId="0" applyNumberFormat="1" applyFont="1" applyFill="1" applyBorder="1" applyAlignment="1" applyProtection="1">
      <alignment vertical="center"/>
    </xf>
    <xf numFmtId="0" fontId="15" fillId="0" borderId="5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4" fontId="15" fillId="0" borderId="51" xfId="0" applyNumberFormat="1" applyFont="1" applyFill="1" applyBorder="1" applyAlignment="1" applyProtection="1">
      <alignment horizontal="center" vertical="center"/>
    </xf>
    <xf numFmtId="3" fontId="15" fillId="0" borderId="51" xfId="0" applyNumberFormat="1" applyFont="1" applyFill="1" applyBorder="1" applyAlignment="1" applyProtection="1">
      <alignment horizontal="center" vertical="center"/>
    </xf>
    <xf numFmtId="3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4" fontId="21" fillId="0" borderId="0" xfId="0" applyNumberFormat="1" applyFont="1" applyFill="1" applyBorder="1" applyAlignment="1" applyProtection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4" fontId="15" fillId="0" borderId="6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4" fontId="15" fillId="0" borderId="52" xfId="0" applyNumberFormat="1" applyFont="1" applyFill="1" applyBorder="1" applyAlignment="1" applyProtection="1">
      <alignment horizontal="center" vertical="center"/>
    </xf>
    <xf numFmtId="170" fontId="10" fillId="0" borderId="53" xfId="0" applyNumberFormat="1" applyFont="1" applyFill="1" applyBorder="1" applyAlignment="1" applyProtection="1">
      <alignment horizontal="center" vertical="center"/>
    </xf>
    <xf numFmtId="3" fontId="15" fillId="0" borderId="54" xfId="0" applyNumberFormat="1" applyFont="1" applyFill="1" applyBorder="1" applyAlignment="1" applyProtection="1">
      <alignment horizontal="center" vertical="center"/>
    </xf>
    <xf numFmtId="3" fontId="15" fillId="0" borderId="0" xfId="0" applyNumberFormat="1" applyFont="1" applyFill="1" applyBorder="1" applyAlignment="1" applyProtection="1">
      <alignment horizontal="center" vertical="center"/>
    </xf>
    <xf numFmtId="4" fontId="15" fillId="0" borderId="55" xfId="0" applyNumberFormat="1" applyFont="1" applyFill="1" applyBorder="1" applyAlignment="1" applyProtection="1">
      <alignment horizontal="center" vertical="center"/>
    </xf>
    <xf numFmtId="3" fontId="15" fillId="0" borderId="56" xfId="0" applyNumberFormat="1" applyFont="1" applyFill="1" applyBorder="1" applyAlignment="1" applyProtection="1">
      <alignment horizontal="center" vertical="center"/>
    </xf>
    <xf numFmtId="165" fontId="10" fillId="0" borderId="51" xfId="0" applyNumberFormat="1" applyFont="1" applyFill="1" applyBorder="1" applyAlignment="1" applyProtection="1">
      <alignment horizontal="center" vertical="center"/>
    </xf>
    <xf numFmtId="2" fontId="15" fillId="0" borderId="57" xfId="0" applyNumberFormat="1" applyFont="1" applyFill="1" applyBorder="1" applyAlignment="1" applyProtection="1">
      <alignment horizontal="center" vertical="center"/>
    </xf>
    <xf numFmtId="3" fontId="15" fillId="0" borderId="58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Fill="1" applyBorder="1" applyAlignment="1" applyProtection="1">
      <alignment vertical="center"/>
    </xf>
    <xf numFmtId="0" fontId="15" fillId="0" borderId="36" xfId="0" applyNumberFormat="1" applyFont="1" applyFill="1" applyBorder="1" applyAlignment="1" applyProtection="1">
      <alignment vertical="center"/>
    </xf>
    <xf numFmtId="0" fontId="21" fillId="0" borderId="36" xfId="0" applyFont="1" applyFill="1" applyBorder="1" applyAlignment="1" applyProtection="1">
      <alignment vertical="center"/>
    </xf>
    <xf numFmtId="0" fontId="21" fillId="0" borderId="36" xfId="0" applyNumberFormat="1" applyFont="1" applyFill="1" applyBorder="1" applyAlignment="1" applyProtection="1">
      <alignment horizontal="left" vertical="center"/>
    </xf>
    <xf numFmtId="0" fontId="10" fillId="0" borderId="36" xfId="0" applyNumberFormat="1" applyFont="1" applyFill="1" applyBorder="1" applyAlignment="1" applyProtection="1">
      <alignment vertical="center"/>
    </xf>
    <xf numFmtId="176" fontId="15" fillId="0" borderId="59" xfId="0" applyNumberFormat="1" applyFont="1" applyFill="1" applyBorder="1" applyAlignment="1" applyProtection="1">
      <alignment horizontal="center" vertical="center"/>
    </xf>
    <xf numFmtId="176" fontId="15" fillId="0" borderId="36" xfId="0" applyNumberFormat="1" applyFont="1" applyFill="1" applyBorder="1" applyAlignment="1" applyProtection="1">
      <alignment horizontal="center" vertical="center"/>
    </xf>
    <xf numFmtId="0" fontId="3" fillId="0" borderId="36" xfId="0" applyNumberFormat="1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176" fontId="15" fillId="0" borderId="6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5" fillId="0" borderId="48" xfId="0" applyNumberFormat="1" applyFont="1" applyFill="1" applyBorder="1" applyAlignment="1" applyProtection="1">
      <alignment horizontal="left" vertical="center"/>
    </xf>
    <xf numFmtId="0" fontId="21" fillId="0" borderId="40" xfId="0" applyFont="1" applyFill="1" applyBorder="1" applyAlignment="1" applyProtection="1">
      <alignment vertical="center"/>
    </xf>
    <xf numFmtId="0" fontId="21" fillId="0" borderId="30" xfId="0" applyFont="1" applyFill="1" applyBorder="1" applyAlignment="1" applyProtection="1">
      <alignment vertical="center"/>
    </xf>
    <xf numFmtId="0" fontId="15" fillId="0" borderId="46" xfId="0" applyFont="1" applyFill="1" applyBorder="1" applyAlignment="1" applyProtection="1">
      <alignment vertical="center"/>
    </xf>
    <xf numFmtId="0" fontId="21" fillId="0" borderId="61" xfId="0" applyFont="1" applyFill="1" applyBorder="1" applyAlignment="1" applyProtection="1">
      <alignment vertical="center"/>
    </xf>
    <xf numFmtId="0" fontId="21" fillId="0" borderId="62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centerContinuous"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10" fillId="0" borderId="44" xfId="0" applyNumberFormat="1" applyFont="1" applyFill="1" applyBorder="1" applyAlignment="1" applyProtection="1">
      <alignment horizontal="left" vertical="center"/>
    </xf>
    <xf numFmtId="0" fontId="5" fillId="0" borderId="45" xfId="0" applyNumberFormat="1" applyFont="1" applyFill="1" applyBorder="1" applyAlignment="1" applyProtection="1">
      <alignment horizontal="center" vertical="center"/>
    </xf>
    <xf numFmtId="0" fontId="5" fillId="0" borderId="45" xfId="0" applyNumberFormat="1" applyFont="1" applyFill="1" applyBorder="1" applyAlignment="1" applyProtection="1">
      <alignment horizontal="right" vertical="center"/>
    </xf>
    <xf numFmtId="0" fontId="5" fillId="0" borderId="63" xfId="0" applyNumberFormat="1" applyFont="1" applyFill="1" applyBorder="1" applyAlignment="1" applyProtection="1">
      <alignment horizontal="centerContinuous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47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4" fillId="0" borderId="38" xfId="0" applyNumberFormat="1" applyFont="1" applyFill="1" applyBorder="1" applyAlignment="1" applyProtection="1">
      <alignment vertical="center"/>
    </xf>
    <xf numFmtId="0" fontId="4" fillId="0" borderId="39" xfId="0" applyNumberFormat="1" applyFont="1" applyFill="1" applyBorder="1" applyAlignment="1" applyProtection="1">
      <alignment vertical="center"/>
    </xf>
    <xf numFmtId="0" fontId="0" fillId="0" borderId="39" xfId="0" applyBorder="1" applyAlignment="1" applyProtection="1">
      <alignment vertical="center"/>
    </xf>
    <xf numFmtId="0" fontId="4" fillId="0" borderId="39" xfId="0" applyNumberFormat="1" applyFont="1" applyFill="1" applyBorder="1" applyAlignment="1" applyProtection="1">
      <alignment horizontal="right" vertical="center"/>
    </xf>
    <xf numFmtId="0" fontId="4" fillId="0" borderId="64" xfId="0" applyNumberFormat="1" applyFont="1" applyFill="1" applyBorder="1" applyAlignment="1" applyProtection="1">
      <alignment horizontal="centerContinuous" vertical="center"/>
    </xf>
    <xf numFmtId="165" fontId="4" fillId="3" borderId="40" xfId="0" applyNumberFormat="1" applyFont="1" applyFill="1" applyBorder="1" applyAlignment="1" applyProtection="1">
      <alignment horizontal="center" vertical="center"/>
    </xf>
    <xf numFmtId="165" fontId="4" fillId="0" borderId="41" xfId="0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0" fontId="4" fillId="0" borderId="65" xfId="0" applyNumberFormat="1" applyFont="1" applyFill="1" applyBorder="1" applyAlignment="1" applyProtection="1">
      <alignment vertical="center"/>
    </xf>
    <xf numFmtId="0" fontId="4" fillId="0" borderId="17" xfId="0" applyNumberFormat="1" applyFont="1" applyFill="1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4" fillId="0" borderId="17" xfId="0" applyNumberFormat="1" applyFont="1" applyFill="1" applyBorder="1" applyAlignment="1" applyProtection="1">
      <alignment horizontal="right" vertical="center"/>
    </xf>
    <xf numFmtId="0" fontId="4" fillId="0" borderId="66" xfId="0" applyNumberFormat="1" applyFont="1" applyFill="1" applyBorder="1" applyAlignment="1" applyProtection="1">
      <alignment horizontal="centerContinuous" vertical="center"/>
    </xf>
    <xf numFmtId="165" fontId="4" fillId="3" borderId="21" xfId="0" applyNumberFormat="1" applyFont="1" applyFill="1" applyBorder="1" applyAlignment="1" applyProtection="1">
      <alignment horizontal="center" vertical="center"/>
    </xf>
    <xf numFmtId="165" fontId="4" fillId="0" borderId="67" xfId="0" applyNumberFormat="1" applyFont="1" applyFill="1" applyBorder="1" applyAlignment="1" applyProtection="1">
      <alignment horizontal="right" vertical="center"/>
    </xf>
    <xf numFmtId="0" fontId="4" fillId="0" borderId="42" xfId="0" applyNumberFormat="1" applyFont="1" applyFill="1" applyBorder="1" applyAlignment="1" applyProtection="1">
      <alignment vertical="center"/>
    </xf>
    <xf numFmtId="0" fontId="4" fillId="0" borderId="31" xfId="0" applyNumberFormat="1" applyFont="1" applyFill="1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4" fillId="0" borderId="31" xfId="0" applyNumberFormat="1" applyFont="1" applyFill="1" applyBorder="1" applyAlignment="1" applyProtection="1">
      <alignment horizontal="right" vertical="center"/>
    </xf>
    <xf numFmtId="0" fontId="4" fillId="0" borderId="68" xfId="0" applyNumberFormat="1" applyFont="1" applyFill="1" applyBorder="1" applyAlignment="1" applyProtection="1">
      <alignment horizontal="centerContinuous" vertical="center"/>
    </xf>
    <xf numFmtId="165" fontId="4" fillId="3" borderId="30" xfId="0" applyNumberFormat="1" applyFont="1" applyFill="1" applyBorder="1" applyAlignment="1" applyProtection="1">
      <alignment horizontal="center" vertical="center"/>
    </xf>
    <xf numFmtId="170" fontId="4" fillId="0" borderId="30" xfId="0" applyNumberFormat="1" applyFont="1" applyFill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vertical="center"/>
    </xf>
    <xf numFmtId="0" fontId="4" fillId="0" borderId="69" xfId="0" applyNumberFormat="1" applyFont="1" applyFill="1" applyBorder="1" applyAlignment="1" applyProtection="1">
      <alignment vertical="center"/>
    </xf>
    <xf numFmtId="0" fontId="4" fillId="0" borderId="70" xfId="0" applyNumberFormat="1" applyFont="1" applyFill="1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4" fillId="0" borderId="70" xfId="0" applyNumberFormat="1" applyFont="1" applyFill="1" applyBorder="1" applyAlignment="1" applyProtection="1">
      <alignment horizontal="right" vertical="center"/>
    </xf>
    <xf numFmtId="0" fontId="4" fillId="0" borderId="71" xfId="0" applyNumberFormat="1" applyFont="1" applyFill="1" applyBorder="1" applyAlignment="1" applyProtection="1">
      <alignment horizontal="centerContinuous" vertical="center"/>
    </xf>
    <xf numFmtId="165" fontId="4" fillId="2" borderId="72" xfId="0" applyNumberFormat="1" applyFont="1" applyFill="1" applyBorder="1" applyAlignment="1" applyProtection="1">
      <alignment horizontal="center" vertical="center"/>
      <protection locked="0"/>
    </xf>
    <xf numFmtId="165" fontId="4" fillId="0" borderId="73" xfId="0" applyNumberFormat="1" applyFont="1" applyFill="1" applyBorder="1" applyAlignment="1" applyProtection="1">
      <alignment horizontal="right" vertical="center"/>
    </xf>
    <xf numFmtId="0" fontId="4" fillId="0" borderId="74" xfId="0" applyNumberFormat="1" applyFont="1" applyFill="1" applyBorder="1" applyAlignment="1" applyProtection="1">
      <alignment vertical="center"/>
    </xf>
    <xf numFmtId="0" fontId="4" fillId="0" borderId="29" xfId="0" applyNumberFormat="1" applyFont="1" applyFill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4" fillId="0" borderId="29" xfId="0" applyNumberFormat="1" applyFont="1" applyFill="1" applyBorder="1" applyAlignment="1" applyProtection="1">
      <alignment horizontal="right" vertical="center"/>
    </xf>
    <xf numFmtId="0" fontId="4" fillId="0" borderId="75" xfId="0" applyNumberFormat="1" applyFont="1" applyFill="1" applyBorder="1" applyAlignment="1" applyProtection="1">
      <alignment horizontal="centerContinuous" vertical="center"/>
    </xf>
    <xf numFmtId="165" fontId="4" fillId="3" borderId="15" xfId="0" applyNumberFormat="1" applyFont="1" applyFill="1" applyBorder="1" applyAlignment="1" applyProtection="1">
      <alignment horizontal="center" vertical="center"/>
    </xf>
    <xf numFmtId="170" fontId="4" fillId="0" borderId="15" xfId="0" applyNumberFormat="1" applyFont="1" applyFill="1" applyBorder="1" applyAlignment="1" applyProtection="1">
      <alignment horizontal="center" vertical="center"/>
    </xf>
    <xf numFmtId="165" fontId="4" fillId="0" borderId="76" xfId="0" applyNumberFormat="1" applyFont="1" applyFill="1" applyBorder="1" applyAlignment="1" applyProtection="1">
      <alignment horizontal="right" vertical="center"/>
    </xf>
    <xf numFmtId="0" fontId="4" fillId="0" borderId="77" xfId="0" applyNumberFormat="1" applyFont="1" applyFill="1" applyBorder="1" applyAlignment="1" applyProtection="1">
      <alignment vertical="center"/>
    </xf>
    <xf numFmtId="0" fontId="4" fillId="0" borderId="78" xfId="0" applyNumberFormat="1" applyFont="1" applyFill="1" applyBorder="1" applyAlignment="1" applyProtection="1">
      <alignment vertical="center"/>
    </xf>
    <xf numFmtId="0" fontId="0" fillId="0" borderId="78" xfId="0" applyBorder="1" applyAlignment="1" applyProtection="1">
      <alignment vertical="center"/>
    </xf>
    <xf numFmtId="0" fontId="4" fillId="0" borderId="78" xfId="0" applyNumberFormat="1" applyFont="1" applyFill="1" applyBorder="1" applyAlignment="1" applyProtection="1">
      <alignment horizontal="right" vertical="center"/>
    </xf>
    <xf numFmtId="0" fontId="4" fillId="0" borderId="79" xfId="0" applyNumberFormat="1" applyFont="1" applyFill="1" applyBorder="1" applyAlignment="1" applyProtection="1">
      <alignment horizontal="centerContinuous" vertical="center"/>
    </xf>
    <xf numFmtId="170" fontId="4" fillId="2" borderId="22" xfId="0" applyNumberFormat="1" applyFont="1" applyFill="1" applyBorder="1" applyAlignment="1" applyProtection="1">
      <alignment horizontal="center" vertical="center"/>
      <protection locked="0"/>
    </xf>
    <xf numFmtId="165" fontId="4" fillId="0" borderId="80" xfId="0" applyNumberFormat="1" applyFont="1" applyFill="1" applyBorder="1" applyAlignment="1" applyProtection="1">
      <alignment horizontal="right" vertical="center"/>
    </xf>
    <xf numFmtId="165" fontId="4" fillId="2" borderId="30" xfId="0" applyNumberFormat="1" applyFont="1" applyFill="1" applyBorder="1" applyAlignment="1" applyProtection="1">
      <alignment horizontal="center" vertical="center"/>
      <protection locked="0"/>
    </xf>
    <xf numFmtId="165" fontId="4" fillId="0" borderId="43" xfId="0" applyNumberFormat="1" applyFont="1" applyFill="1" applyBorder="1" applyAlignment="1" applyProtection="1">
      <alignment horizontal="right" vertical="center"/>
    </xf>
    <xf numFmtId="165" fontId="4" fillId="2" borderId="22" xfId="0" applyNumberFormat="1" applyFont="1" applyFill="1" applyBorder="1" applyAlignment="1" applyProtection="1">
      <alignment horizontal="center" vertical="center"/>
      <protection locked="0"/>
    </xf>
    <xf numFmtId="170" fontId="4" fillId="0" borderId="15" xfId="0" applyNumberFormat="1" applyFont="1" applyFill="1" applyBorder="1" applyAlignment="1" applyProtection="1">
      <alignment horizontal="centerContinuous" vertical="center"/>
    </xf>
    <xf numFmtId="165" fontId="4" fillId="2" borderId="76" xfId="0" applyNumberFormat="1" applyFont="1" applyFill="1" applyBorder="1" applyAlignment="1" applyProtection="1">
      <alignment horizontal="right" vertical="center"/>
      <protection locked="0"/>
    </xf>
    <xf numFmtId="0" fontId="0" fillId="0" borderId="29" xfId="0" applyFill="1" applyBorder="1" applyAlignment="1" applyProtection="1">
      <alignment vertical="center"/>
    </xf>
    <xf numFmtId="165" fontId="4" fillId="1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1" xfId="0" applyNumberFormat="1" applyFont="1" applyFill="1" applyBorder="1" applyAlignment="1" applyProtection="1">
      <alignment horizontal="right" vertical="center"/>
    </xf>
    <xf numFmtId="165" fontId="4" fillId="0" borderId="82" xfId="0" applyNumberFormat="1" applyFont="1" applyFill="1" applyBorder="1" applyAlignment="1" applyProtection="1">
      <alignment horizontal="right" vertical="center"/>
    </xf>
    <xf numFmtId="0" fontId="3" fillId="0" borderId="31" xfId="0" applyFont="1" applyFill="1" applyBorder="1" applyAlignment="1" applyProtection="1">
      <alignment vertical="center"/>
    </xf>
    <xf numFmtId="0" fontId="4" fillId="0" borderId="83" xfId="0" applyNumberFormat="1" applyFont="1" applyFill="1" applyBorder="1" applyAlignment="1" applyProtection="1">
      <alignment vertical="center"/>
    </xf>
    <xf numFmtId="0" fontId="4" fillId="0" borderId="84" xfId="0" applyNumberFormat="1" applyFont="1" applyFill="1" applyBorder="1" applyAlignment="1" applyProtection="1">
      <alignment vertical="center"/>
    </xf>
    <xf numFmtId="0" fontId="4" fillId="0" borderId="84" xfId="0" applyNumberFormat="1" applyFont="1" applyFill="1" applyBorder="1" applyAlignment="1" applyProtection="1">
      <alignment horizontal="right" vertical="center"/>
    </xf>
    <xf numFmtId="0" fontId="4" fillId="0" borderId="85" xfId="0" applyNumberFormat="1" applyFont="1" applyFill="1" applyBorder="1" applyAlignment="1" applyProtection="1">
      <alignment horizontal="centerContinuous" vertical="center"/>
    </xf>
    <xf numFmtId="0" fontId="0" fillId="0" borderId="86" xfId="0" applyBorder="1" applyAlignment="1" applyProtection="1">
      <alignment vertical="center"/>
    </xf>
    <xf numFmtId="170" fontId="4" fillId="0" borderId="86" xfId="0" applyNumberFormat="1" applyFont="1" applyFill="1" applyBorder="1" applyAlignment="1" applyProtection="1">
      <alignment horizontal="center" vertical="center"/>
    </xf>
    <xf numFmtId="165" fontId="4" fillId="2" borderId="87" xfId="0" applyNumberFormat="1" applyFont="1" applyFill="1" applyBorder="1" applyAlignment="1" applyProtection="1">
      <alignment horizontal="right" vertical="center"/>
      <protection locked="0"/>
    </xf>
    <xf numFmtId="0" fontId="6" fillId="0" borderId="45" xfId="0" applyNumberFormat="1" applyFont="1" applyFill="1" applyBorder="1" applyAlignment="1" applyProtection="1">
      <alignment vertical="center"/>
    </xf>
    <xf numFmtId="0" fontId="4" fillId="0" borderId="45" xfId="0" applyNumberFormat="1" applyFont="1" applyFill="1" applyBorder="1" applyAlignment="1" applyProtection="1">
      <alignment vertical="center"/>
    </xf>
    <xf numFmtId="0" fontId="4" fillId="0" borderId="45" xfId="0" applyNumberFormat="1" applyFont="1" applyFill="1" applyBorder="1" applyAlignment="1" applyProtection="1">
      <alignment horizontal="left" vertical="center"/>
    </xf>
    <xf numFmtId="0" fontId="3" fillId="0" borderId="45" xfId="0" applyNumberFormat="1" applyFont="1" applyFill="1" applyBorder="1" applyAlignment="1" applyProtection="1">
      <alignment vertical="center"/>
    </xf>
    <xf numFmtId="165" fontId="5" fillId="0" borderId="47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0" fontId="10" fillId="0" borderId="48" xfId="0" applyNumberFormat="1" applyFont="1" applyFill="1" applyBorder="1" applyAlignment="1" applyProtection="1">
      <alignment vertical="center"/>
    </xf>
    <xf numFmtId="0" fontId="5" fillId="0" borderId="33" xfId="0" applyNumberFormat="1" applyFont="1" applyFill="1" applyBorder="1" applyAlignment="1" applyProtection="1">
      <alignment vertical="center"/>
    </xf>
    <xf numFmtId="0" fontId="3" fillId="0" borderId="33" xfId="0" applyFont="1" applyBorder="1" applyAlignment="1" applyProtection="1">
      <alignment vertical="center"/>
    </xf>
    <xf numFmtId="0" fontId="5" fillId="0" borderId="33" xfId="0" applyNumberFormat="1" applyFont="1" applyFill="1" applyBorder="1" applyAlignment="1" applyProtection="1">
      <alignment horizontal="right" vertical="center"/>
    </xf>
    <xf numFmtId="0" fontId="5" fillId="0" borderId="88" xfId="0" applyNumberFormat="1" applyFont="1" applyFill="1" applyBorder="1" applyAlignment="1" applyProtection="1">
      <alignment horizontal="centerContinuous" vertical="center"/>
    </xf>
    <xf numFmtId="0" fontId="5" fillId="0" borderId="34" xfId="0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6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75" xfId="0" applyNumberFormat="1" applyFont="1" applyFill="1" applyBorder="1" applyAlignment="1" applyProtection="1">
      <alignment horizontal="center" vertical="center"/>
    </xf>
    <xf numFmtId="0" fontId="4" fillId="0" borderId="68" xfId="0" applyNumberFormat="1" applyFon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vertical="center"/>
    </xf>
    <xf numFmtId="165" fontId="4" fillId="2" borderId="43" xfId="0" applyNumberFormat="1" applyFont="1" applyFill="1" applyBorder="1" applyAlignment="1" applyProtection="1">
      <alignment horizontal="right" vertical="center"/>
      <protection locked="0"/>
    </xf>
    <xf numFmtId="0" fontId="5" fillId="0" borderId="45" xfId="0" applyNumberFormat="1" applyFont="1" applyFill="1" applyBorder="1" applyAlignment="1" applyProtection="1">
      <alignment vertical="center"/>
    </xf>
    <xf numFmtId="0" fontId="3" fillId="0" borderId="45" xfId="0" applyNumberFormat="1" applyFont="1" applyFill="1" applyBorder="1" applyAlignment="1" applyProtection="1">
      <alignment horizontal="left" vertical="center"/>
    </xf>
    <xf numFmtId="165" fontId="7" fillId="0" borderId="45" xfId="0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45" xfId="0" applyNumberFormat="1" applyFont="1" applyFill="1" applyBorder="1" applyAlignment="1" applyProtection="1">
      <alignment horizontal="right" vertical="center"/>
    </xf>
    <xf numFmtId="170" fontId="6" fillId="0" borderId="45" xfId="0" applyNumberFormat="1" applyFont="1" applyFill="1" applyBorder="1" applyAlignment="1" applyProtection="1">
      <alignment horizontal="right" vertical="center"/>
    </xf>
    <xf numFmtId="170" fontId="15" fillId="0" borderId="47" xfId="0" applyNumberFormat="1" applyFont="1" applyFill="1" applyBorder="1" applyAlignment="1" applyProtection="1">
      <alignment horizontal="right" vertical="center"/>
    </xf>
    <xf numFmtId="166" fontId="3" fillId="11" borderId="0" xfId="0" applyNumberFormat="1" applyFont="1" applyFill="1" applyBorder="1" applyAlignment="1" applyProtection="1">
      <alignment vertical="center"/>
    </xf>
    <xf numFmtId="170" fontId="4" fillId="11" borderId="0" xfId="0" applyNumberFormat="1" applyFont="1" applyFill="1" applyBorder="1" applyAlignment="1" applyProtection="1">
      <alignment horizontal="centerContinuous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centerContinuous" vertical="center"/>
    </xf>
    <xf numFmtId="170" fontId="8" fillId="0" borderId="0" xfId="0" applyNumberFormat="1" applyFont="1" applyFill="1" applyBorder="1" applyAlignment="1" applyProtection="1">
      <alignment horizontal="right" vertical="center"/>
    </xf>
    <xf numFmtId="0" fontId="4" fillId="0" borderId="48" xfId="0" applyNumberFormat="1" applyFont="1" applyFill="1" applyBorder="1" applyAlignment="1" applyProtection="1">
      <alignment vertical="center"/>
    </xf>
    <xf numFmtId="0" fontId="4" fillId="0" borderId="33" xfId="0" applyNumberFormat="1" applyFont="1" applyFill="1" applyBorder="1" applyAlignment="1" applyProtection="1">
      <alignment vertical="center"/>
    </xf>
    <xf numFmtId="0" fontId="4" fillId="0" borderId="89" xfId="0" applyNumberFormat="1" applyFont="1" applyFill="1" applyBorder="1" applyAlignment="1" applyProtection="1">
      <alignment horizontal="center" vertical="center" textRotation="90" wrapText="1"/>
    </xf>
    <xf numFmtId="3" fontId="4" fillId="0" borderId="89" xfId="0" applyNumberFormat="1" applyFont="1" applyFill="1" applyBorder="1" applyAlignment="1" applyProtection="1">
      <alignment horizontal="center" vertical="center" textRotation="90" wrapText="1"/>
    </xf>
    <xf numFmtId="166" fontId="4" fillId="0" borderId="89" xfId="0" applyNumberFormat="1" applyFont="1" applyFill="1" applyBorder="1" applyAlignment="1" applyProtection="1">
      <alignment horizontal="center" vertical="center" textRotation="90" wrapText="1"/>
    </xf>
    <xf numFmtId="4" fontId="4" fillId="0" borderId="89" xfId="0" applyNumberFormat="1" applyFont="1" applyFill="1" applyBorder="1" applyAlignment="1" applyProtection="1">
      <alignment horizontal="center" vertical="center" textRotation="90" wrapText="1"/>
    </xf>
    <xf numFmtId="0" fontId="4" fillId="0" borderId="50" xfId="0" applyNumberFormat="1" applyFont="1" applyFill="1" applyBorder="1" applyAlignment="1" applyProtection="1">
      <alignment vertical="center"/>
    </xf>
    <xf numFmtId="0" fontId="0" fillId="0" borderId="90" xfId="0" applyBorder="1" applyAlignment="1" applyProtection="1">
      <alignment vertical="center"/>
    </xf>
    <xf numFmtId="3" fontId="0" fillId="0" borderId="90" xfId="0" applyNumberFormat="1" applyBorder="1" applyAlignment="1" applyProtection="1">
      <alignment vertical="center"/>
    </xf>
    <xf numFmtId="166" fontId="0" fillId="0" borderId="90" xfId="0" applyNumberFormat="1" applyBorder="1" applyAlignment="1" applyProtection="1">
      <alignment vertical="center"/>
    </xf>
    <xf numFmtId="4" fontId="0" fillId="0" borderId="90" xfId="0" applyNumberForma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left" vertical="center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35" xfId="0" applyNumberFormat="1" applyFont="1" applyFill="1" applyBorder="1" applyAlignment="1" applyProtection="1">
      <alignment horizontal="center" vertical="center"/>
    </xf>
    <xf numFmtId="0" fontId="4" fillId="0" borderId="36" xfId="0" applyNumberFormat="1" applyFont="1" applyFill="1" applyBorder="1" applyAlignment="1" applyProtection="1">
      <alignment horizontal="center" vertical="center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3" fontId="4" fillId="0" borderId="91" xfId="0" applyNumberFormat="1" applyFont="1" applyFill="1" applyBorder="1" applyAlignment="1" applyProtection="1">
      <alignment horizontal="center" vertical="center" wrapText="1"/>
    </xf>
    <xf numFmtId="166" fontId="4" fillId="0" borderId="91" xfId="0" applyNumberFormat="1" applyFont="1" applyFill="1" applyBorder="1" applyAlignment="1" applyProtection="1">
      <alignment horizontal="center" vertical="center" wrapText="1"/>
    </xf>
    <xf numFmtId="4" fontId="4" fillId="0" borderId="91" xfId="0" applyNumberFormat="1" applyFont="1" applyFill="1" applyBorder="1" applyAlignment="1" applyProtection="1">
      <alignment horizontal="center" vertical="center" wrapText="1"/>
    </xf>
    <xf numFmtId="3" fontId="7" fillId="0" borderId="86" xfId="0" applyNumberFormat="1" applyFont="1" applyFill="1" applyBorder="1" applyAlignment="1" applyProtection="1">
      <alignment horizontal="center" vertical="center" textRotation="90" wrapText="1"/>
    </xf>
    <xf numFmtId="3" fontId="7" fillId="0" borderId="92" xfId="0" applyNumberFormat="1" applyFont="1" applyFill="1" applyBorder="1" applyAlignment="1" applyProtection="1">
      <alignment horizontal="center" vertical="center" textRotation="90" wrapText="1"/>
    </xf>
    <xf numFmtId="3" fontId="7" fillId="0" borderId="1" xfId="0" applyNumberFormat="1" applyFont="1" applyFill="1" applyBorder="1" applyAlignment="1" applyProtection="1">
      <alignment horizontal="center" vertical="center" textRotation="90" wrapText="1"/>
    </xf>
    <xf numFmtId="3" fontId="7" fillId="0" borderId="91" xfId="0" applyNumberFormat="1" applyFont="1" applyFill="1" applyBorder="1" applyAlignment="1" applyProtection="1">
      <alignment horizontal="center" vertical="center" textRotation="90" wrapText="1"/>
    </xf>
    <xf numFmtId="170" fontId="7" fillId="0" borderId="1" xfId="0" applyNumberFormat="1" applyFont="1" applyFill="1" applyBorder="1" applyAlignment="1" applyProtection="1">
      <alignment horizontal="center" vertical="center" wrapText="1"/>
    </xf>
    <xf numFmtId="170" fontId="7" fillId="0" borderId="93" xfId="0" applyNumberFormat="1" applyFont="1" applyFill="1" applyBorder="1" applyAlignment="1" applyProtection="1">
      <alignment horizontal="center" vertical="center" wrapText="1"/>
    </xf>
    <xf numFmtId="0" fontId="15" fillId="0" borderId="94" xfId="0" applyNumberFormat="1" applyFont="1" applyFill="1" applyBorder="1" applyAlignment="1" applyProtection="1">
      <alignment horizontal="left" vertical="center"/>
    </xf>
    <xf numFmtId="0" fontId="15" fillId="0" borderId="95" xfId="0" applyNumberFormat="1" applyFont="1" applyFill="1" applyBorder="1" applyAlignment="1" applyProtection="1">
      <alignment horizontal="left" vertical="center"/>
    </xf>
    <xf numFmtId="0" fontId="4" fillId="0" borderId="95" xfId="0" applyNumberFormat="1" applyFont="1" applyFill="1" applyBorder="1" applyAlignment="1" applyProtection="1">
      <alignment horizontal="center" vertical="center" textRotation="255"/>
    </xf>
    <xf numFmtId="3" fontId="4" fillId="0" borderId="95" xfId="0" applyNumberFormat="1" applyFont="1" applyFill="1" applyBorder="1" applyAlignment="1" applyProtection="1">
      <alignment horizontal="center" vertical="center"/>
    </xf>
    <xf numFmtId="166" fontId="6" fillId="0" borderId="95" xfId="0" applyNumberFormat="1" applyFont="1" applyFill="1" applyBorder="1" applyAlignment="1" applyProtection="1">
      <alignment horizontal="center" vertical="center"/>
    </xf>
    <xf numFmtId="4" fontId="4" fillId="0" borderId="95" xfId="0" applyNumberFormat="1" applyFont="1" applyFill="1" applyBorder="1" applyAlignment="1" applyProtection="1">
      <alignment horizontal="center" vertical="center"/>
    </xf>
    <xf numFmtId="3" fontId="6" fillId="0" borderId="95" xfId="0" applyNumberFormat="1" applyFont="1" applyFill="1" applyBorder="1" applyAlignment="1" applyProtection="1">
      <alignment horizontal="center" vertical="center"/>
    </xf>
    <xf numFmtId="170" fontId="4" fillId="0" borderId="95" xfId="0" applyNumberFormat="1" applyFont="1" applyFill="1" applyBorder="1" applyAlignment="1" applyProtection="1">
      <alignment horizontal="center" vertical="center"/>
    </xf>
    <xf numFmtId="170" fontId="4" fillId="0" borderId="96" xfId="0" applyNumberFormat="1" applyFont="1" applyFill="1" applyBorder="1" applyAlignment="1" applyProtection="1">
      <alignment horizontal="center" vertical="center"/>
    </xf>
    <xf numFmtId="1" fontId="4" fillId="0" borderId="65" xfId="0" applyNumberFormat="1" applyFont="1" applyFill="1" applyBorder="1" applyAlignment="1" applyProtection="1">
      <alignment vertical="center"/>
    </xf>
    <xf numFmtId="0" fontId="4" fillId="0" borderId="97" xfId="0" applyFont="1" applyBorder="1" applyAlignment="1" applyProtection="1">
      <alignment horizontal="right" vertical="center"/>
    </xf>
    <xf numFmtId="164" fontId="4" fillId="2" borderId="55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6" xfId="0" applyNumberFormat="1" applyFont="1" applyFill="1" applyBorder="1" applyAlignment="1" applyProtection="1">
      <alignment horizontal="center" vertical="center"/>
    </xf>
    <xf numFmtId="4" fontId="4" fillId="3" borderId="16" xfId="0" applyNumberFormat="1" applyFont="1" applyFill="1" applyBorder="1" applyAlignment="1" applyProtection="1">
      <alignment horizontal="center" vertical="center"/>
    </xf>
    <xf numFmtId="3" fontId="4" fillId="2" borderId="16" xfId="0" applyNumberFormat="1" applyFont="1" applyFill="1" applyBorder="1" applyAlignment="1" applyProtection="1">
      <alignment horizontal="center" vertical="center"/>
      <protection locked="0"/>
    </xf>
    <xf numFmtId="3" fontId="4" fillId="2" borderId="21" xfId="0" applyNumberFormat="1" applyFont="1" applyFill="1" applyBorder="1" applyAlignment="1" applyProtection="1">
      <alignment horizontal="center" vertical="center"/>
      <protection locked="0"/>
    </xf>
    <xf numFmtId="170" fontId="4" fillId="4" borderId="16" xfId="0" applyNumberFormat="1" applyFont="1" applyFill="1" applyBorder="1" applyAlignment="1" applyProtection="1">
      <alignment horizontal="right" vertical="center"/>
    </xf>
    <xf numFmtId="170" fontId="4" fillId="4" borderId="98" xfId="0" applyNumberFormat="1" applyFont="1" applyFill="1" applyBorder="1" applyAlignment="1" applyProtection="1">
      <alignment horizontal="right" vertical="center"/>
    </xf>
    <xf numFmtId="2" fontId="4" fillId="0" borderId="65" xfId="0" applyNumberFormat="1" applyFont="1" applyFill="1" applyBorder="1" applyAlignment="1" applyProtection="1">
      <alignment vertical="center"/>
    </xf>
    <xf numFmtId="2" fontId="4" fillId="0" borderId="35" xfId="0" applyNumberFormat="1" applyFont="1" applyFill="1" applyBorder="1" applyAlignment="1" applyProtection="1">
      <alignment vertical="center"/>
    </xf>
    <xf numFmtId="165" fontId="4" fillId="2" borderId="91" xfId="0" applyNumberFormat="1" applyFont="1" applyFill="1" applyBorder="1" applyAlignment="1" applyProtection="1">
      <alignment horizontal="center" vertical="center"/>
      <protection locked="0"/>
    </xf>
    <xf numFmtId="3" fontId="4" fillId="3" borderId="91" xfId="0" applyNumberFormat="1" applyFont="1" applyFill="1" applyBorder="1" applyAlignment="1" applyProtection="1">
      <alignment horizontal="center" vertical="center"/>
    </xf>
    <xf numFmtId="166" fontId="4" fillId="2" borderId="99" xfId="0" applyNumberFormat="1" applyFont="1" applyFill="1" applyBorder="1" applyAlignment="1" applyProtection="1">
      <alignment horizontal="center" vertical="center"/>
      <protection locked="0"/>
    </xf>
    <xf numFmtId="3" fontId="4" fillId="2" borderId="91" xfId="0" applyNumberFormat="1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170" fontId="4" fillId="2" borderId="91" xfId="0" applyNumberFormat="1" applyFont="1" applyFill="1" applyBorder="1" applyAlignment="1" applyProtection="1">
      <alignment horizontal="right" vertical="center"/>
      <protection locked="0"/>
    </xf>
    <xf numFmtId="170" fontId="4" fillId="2" borderId="100" xfId="0" applyNumberFormat="1" applyFont="1" applyFill="1" applyBorder="1" applyAlignment="1" applyProtection="1">
      <alignment horizontal="right" vertical="center"/>
      <protection locked="0"/>
    </xf>
    <xf numFmtId="2" fontId="4" fillId="0" borderId="33" xfId="0" applyNumberFormat="1" applyFont="1" applyFill="1" applyBorder="1" applyAlignment="1" applyProtection="1">
      <alignment vertical="center"/>
    </xf>
    <xf numFmtId="49" fontId="4" fillId="0" borderId="33" xfId="0" applyNumberFormat="1" applyFont="1" applyFill="1" applyBorder="1" applyAlignment="1" applyProtection="1">
      <alignment vertical="center"/>
    </xf>
    <xf numFmtId="49" fontId="4" fillId="0" borderId="33" xfId="0" applyNumberFormat="1" applyFont="1" applyFill="1" applyBorder="1" applyAlignment="1" applyProtection="1">
      <alignment horizontal="center" vertical="center"/>
    </xf>
    <xf numFmtId="4" fontId="4" fillId="12" borderId="101" xfId="0" applyNumberFormat="1" applyFont="1" applyFill="1" applyBorder="1" applyAlignment="1" applyProtection="1">
      <alignment horizontal="center" vertical="center"/>
    </xf>
    <xf numFmtId="3" fontId="4" fillId="12" borderId="101" xfId="0" applyNumberFormat="1" applyFont="1" applyFill="1" applyBorder="1" applyAlignment="1" applyProtection="1">
      <alignment horizontal="center" vertical="center"/>
    </xf>
    <xf numFmtId="170" fontId="4" fillId="12" borderId="101" xfId="0" applyNumberFormat="1" applyFont="1" applyFill="1" applyBorder="1" applyAlignment="1" applyProtection="1">
      <alignment horizontal="center" vertical="center"/>
    </xf>
    <xf numFmtId="170" fontId="4" fillId="12" borderId="102" xfId="0" applyNumberFormat="1" applyFont="1" applyFill="1" applyBorder="1" applyAlignment="1" applyProtection="1">
      <alignment horizontal="center" vertical="center"/>
    </xf>
    <xf numFmtId="170" fontId="4" fillId="0" borderId="33" xfId="0" applyNumberFormat="1" applyFont="1" applyFill="1" applyBorder="1" applyAlignment="1" applyProtection="1">
      <alignment horizontal="centerContinuous" vertical="center"/>
    </xf>
    <xf numFmtId="2" fontId="4" fillId="4" borderId="17" xfId="0" applyNumberFormat="1" applyFont="1" applyFill="1" applyBorder="1" applyAlignment="1" applyProtection="1">
      <alignment horizontal="left" vertical="center"/>
    </xf>
    <xf numFmtId="3" fontId="4" fillId="10" borderId="16" xfId="0" applyNumberFormat="1" applyFont="1" applyFill="1" applyBorder="1" applyAlignment="1" applyProtection="1">
      <alignment horizontal="center" vertical="center"/>
      <protection locked="0"/>
    </xf>
    <xf numFmtId="3" fontId="4" fillId="10" borderId="21" xfId="0" applyNumberFormat="1" applyFont="1" applyFill="1" applyBorder="1" applyAlignment="1" applyProtection="1">
      <alignment horizontal="center" vertical="center"/>
      <protection locked="0"/>
    </xf>
    <xf numFmtId="2" fontId="4" fillId="0" borderId="17" xfId="0" applyNumberFormat="1" applyFont="1" applyFill="1" applyBorder="1" applyAlignment="1" applyProtection="1">
      <alignment horizontal="left" vertical="center"/>
    </xf>
    <xf numFmtId="3" fontId="4" fillId="0" borderId="16" xfId="0" applyNumberFormat="1" applyFont="1" applyFill="1" applyBorder="1" applyAlignment="1" applyProtection="1">
      <alignment horizontal="center" vertical="center"/>
    </xf>
    <xf numFmtId="3" fontId="4" fillId="0" borderId="21" xfId="0" applyNumberFormat="1" applyFont="1" applyFill="1" applyBorder="1" applyAlignment="1" applyProtection="1">
      <alignment horizontal="center" vertical="center"/>
    </xf>
    <xf numFmtId="4" fontId="4" fillId="3" borderId="90" xfId="0" applyNumberFormat="1" applyFont="1" applyFill="1" applyBorder="1" applyAlignment="1" applyProtection="1">
      <alignment horizontal="center" vertical="center"/>
    </xf>
    <xf numFmtId="4" fontId="4" fillId="3" borderId="99" xfId="0" applyNumberFormat="1" applyFont="1" applyFill="1" applyBorder="1" applyAlignment="1" applyProtection="1">
      <alignment horizontal="center" vertical="center"/>
    </xf>
    <xf numFmtId="3" fontId="4" fillId="2" borderId="103" xfId="0" applyNumberFormat="1" applyFont="1" applyFill="1" applyBorder="1" applyAlignment="1" applyProtection="1">
      <alignment horizontal="center" vertical="center"/>
      <protection locked="0"/>
    </xf>
    <xf numFmtId="3" fontId="4" fillId="2" borderId="99" xfId="0" applyNumberFormat="1" applyFont="1" applyFill="1" applyBorder="1" applyAlignment="1" applyProtection="1">
      <alignment horizontal="center" vertical="center"/>
      <protection locked="0"/>
    </xf>
    <xf numFmtId="170" fontId="4" fillId="2" borderId="103" xfId="0" applyNumberFormat="1" applyFont="1" applyFill="1" applyBorder="1" applyAlignment="1" applyProtection="1">
      <alignment horizontal="right" vertical="center"/>
      <protection locked="0"/>
    </xf>
    <xf numFmtId="3" fontId="4" fillId="0" borderId="33" xfId="0" applyNumberFormat="1" applyFont="1" applyFill="1" applyBorder="1" applyAlignment="1" applyProtection="1">
      <alignment horizontal="center" vertical="center"/>
    </xf>
    <xf numFmtId="3" fontId="4" fillId="3" borderId="10" xfId="0" applyNumberFormat="1" applyFont="1" applyFill="1" applyBorder="1" applyAlignment="1" applyProtection="1">
      <alignment horizontal="center" vertic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2" fontId="4" fillId="0" borderId="31" xfId="0" applyNumberFormat="1" applyFont="1" applyFill="1" applyBorder="1" applyAlignment="1" applyProtection="1">
      <alignment vertical="center"/>
    </xf>
    <xf numFmtId="3" fontId="4" fillId="3" borderId="20" xfId="0" applyNumberFormat="1" applyFont="1" applyFill="1" applyBorder="1" applyAlignment="1" applyProtection="1">
      <alignment horizontal="center" vertical="center"/>
    </xf>
    <xf numFmtId="4" fontId="4" fillId="3" borderId="30" xfId="0" applyNumberFormat="1" applyFont="1" applyFill="1" applyBorder="1" applyAlignment="1" applyProtection="1">
      <alignment horizontal="center" vertical="center"/>
    </xf>
    <xf numFmtId="2" fontId="4" fillId="4" borderId="31" xfId="0" applyNumberFormat="1" applyFont="1" applyFill="1" applyBorder="1" applyAlignment="1" applyProtection="1">
      <alignment vertical="center" wrapText="1"/>
    </xf>
    <xf numFmtId="2" fontId="4" fillId="0" borderId="31" xfId="0" applyNumberFormat="1" applyFont="1" applyFill="1" applyBorder="1" applyAlignment="1" applyProtection="1">
      <alignment vertical="center" wrapText="1"/>
    </xf>
    <xf numFmtId="3" fontId="4" fillId="3" borderId="103" xfId="0" applyNumberFormat="1" applyFont="1" applyFill="1" applyBorder="1" applyAlignment="1" applyProtection="1">
      <alignment horizontal="center" vertical="center"/>
    </xf>
    <xf numFmtId="3" fontId="4" fillId="0" borderId="15" xfId="0" applyNumberFormat="1" applyFont="1" applyFill="1" applyBorder="1" applyAlignment="1" applyProtection="1">
      <alignment horizontal="center" vertical="center"/>
    </xf>
    <xf numFmtId="3" fontId="4" fillId="10" borderId="15" xfId="0" applyNumberFormat="1" applyFont="1" applyFill="1" applyBorder="1" applyAlignment="1" applyProtection="1">
      <alignment horizontal="center" vertical="center"/>
      <protection locked="0"/>
    </xf>
    <xf numFmtId="3" fontId="0" fillId="0" borderId="15" xfId="0" applyNumberFormat="1" applyBorder="1" applyAlignment="1" applyProtection="1">
      <alignment vertical="center"/>
    </xf>
    <xf numFmtId="3" fontId="0" fillId="10" borderId="15" xfId="0" applyNumberFormat="1" applyFill="1" applyBorder="1" applyAlignment="1" applyProtection="1">
      <alignment vertical="center"/>
      <protection locked="0"/>
    </xf>
    <xf numFmtId="3" fontId="4" fillId="0" borderId="30" xfId="0" applyNumberFormat="1" applyFont="1" applyFill="1" applyBorder="1" applyAlignment="1" applyProtection="1">
      <alignment horizontal="center" vertical="center"/>
    </xf>
    <xf numFmtId="3" fontId="4" fillId="10" borderId="30" xfId="0" applyNumberFormat="1" applyFont="1" applyFill="1" applyBorder="1" applyAlignment="1" applyProtection="1">
      <alignment horizontal="center" vertical="center"/>
      <protection locked="0"/>
    </xf>
    <xf numFmtId="3" fontId="0" fillId="0" borderId="30" xfId="0" applyNumberFormat="1" applyBorder="1" applyAlignment="1" applyProtection="1">
      <alignment vertical="center"/>
    </xf>
    <xf numFmtId="3" fontId="0" fillId="10" borderId="30" xfId="0" applyNumberFormat="1" applyFill="1" applyBorder="1" applyAlignment="1" applyProtection="1">
      <alignment vertical="center"/>
      <protection locked="0"/>
    </xf>
    <xf numFmtId="2" fontId="4" fillId="0" borderId="50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2" fontId="4" fillId="0" borderId="90" xfId="0" applyNumberFormat="1" applyFont="1" applyFill="1" applyBorder="1" applyAlignment="1" applyProtection="1">
      <alignment horizontal="center" vertical="center"/>
    </xf>
    <xf numFmtId="166" fontId="4" fillId="0" borderId="90" xfId="0" applyNumberFormat="1" applyFont="1" applyFill="1" applyBorder="1" applyAlignment="1" applyProtection="1">
      <alignment horizontal="center" vertical="center"/>
    </xf>
    <xf numFmtId="2" fontId="4" fillId="0" borderId="104" xfId="0" applyNumberFormat="1" applyFont="1" applyFill="1" applyBorder="1" applyAlignment="1" applyProtection="1">
      <alignment vertical="center"/>
    </xf>
    <xf numFmtId="165" fontId="4" fillId="2" borderId="99" xfId="0" applyNumberFormat="1" applyFont="1" applyFill="1" applyBorder="1" applyAlignment="1" applyProtection="1">
      <alignment horizontal="center" vertical="center"/>
      <protection locked="0"/>
    </xf>
    <xf numFmtId="3" fontId="0" fillId="0" borderId="15" xfId="0" applyNumberFormat="1" applyFill="1" applyBorder="1" applyAlignment="1" applyProtection="1">
      <alignment vertical="center"/>
    </xf>
    <xf numFmtId="3" fontId="0" fillId="0" borderId="30" xfId="0" applyNumberFormat="1" applyFill="1" applyBorder="1" applyAlignment="1" applyProtection="1">
      <alignment vertical="center"/>
    </xf>
    <xf numFmtId="2" fontId="4" fillId="2" borderId="91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vertical="center"/>
    </xf>
    <xf numFmtId="2" fontId="4" fillId="0" borderId="75" xfId="0" applyNumberFormat="1" applyFont="1" applyFill="1" applyBorder="1" applyAlignment="1" applyProtection="1">
      <alignment vertical="center"/>
    </xf>
    <xf numFmtId="3" fontId="4" fillId="10" borderId="10" xfId="0" applyNumberFormat="1" applyFont="1" applyFill="1" applyBorder="1" applyAlignment="1" applyProtection="1">
      <alignment horizontal="center" vertical="center"/>
      <protection locked="0"/>
    </xf>
    <xf numFmtId="2" fontId="4" fillId="0" borderId="68" xfId="0" applyNumberFormat="1" applyFont="1" applyFill="1" applyBorder="1" applyAlignment="1" applyProtection="1">
      <alignment vertical="center"/>
    </xf>
    <xf numFmtId="3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vertical="center"/>
    </xf>
    <xf numFmtId="2" fontId="4" fillId="2" borderId="103" xfId="0" applyNumberFormat="1" applyFont="1" applyFill="1" applyBorder="1" applyAlignment="1" applyProtection="1">
      <alignment horizontal="center" vertical="center"/>
      <protection locked="0"/>
    </xf>
    <xf numFmtId="170" fontId="4" fillId="0" borderId="36" xfId="0" applyNumberFormat="1" applyFont="1" applyFill="1" applyBorder="1" applyAlignment="1" applyProtection="1">
      <alignment horizontal="centerContinuous" vertical="center"/>
    </xf>
    <xf numFmtId="3" fontId="15" fillId="0" borderId="95" xfId="0" applyNumberFormat="1" applyFont="1" applyFill="1" applyBorder="1" applyAlignment="1" applyProtection="1">
      <alignment horizontal="left" vertical="center"/>
    </xf>
    <xf numFmtId="3" fontId="6" fillId="0" borderId="95" xfId="0" applyNumberFormat="1" applyFont="1" applyFill="1" applyBorder="1" applyAlignment="1" applyProtection="1">
      <alignment horizontal="center" vertical="center" wrapText="1"/>
    </xf>
    <xf numFmtId="3" fontId="4" fillId="0" borderId="95" xfId="0" applyNumberFormat="1" applyFont="1" applyFill="1" applyBorder="1" applyAlignment="1" applyProtection="1">
      <alignment horizontal="right" vertical="center"/>
    </xf>
    <xf numFmtId="2" fontId="4" fillId="0" borderId="74" xfId="0" applyNumberFormat="1" applyFont="1" applyFill="1" applyBorder="1" applyAlignment="1" applyProtection="1">
      <alignment vertical="center"/>
    </xf>
    <xf numFmtId="166" fontId="4" fillId="0" borderId="15" xfId="0" applyNumberFormat="1" applyFont="1" applyFill="1" applyBorder="1" applyAlignment="1" applyProtection="1">
      <alignment horizontal="center" vertical="center"/>
    </xf>
    <xf numFmtId="166" fontId="4" fillId="0" borderId="30" xfId="0" applyNumberFormat="1" applyFont="1" applyFill="1" applyBorder="1" applyAlignment="1" applyProtection="1">
      <alignment horizontal="center" vertical="center"/>
    </xf>
    <xf numFmtId="170" fontId="4" fillId="0" borderId="0" xfId="0" applyNumberFormat="1" applyFont="1" applyFill="1" applyBorder="1" applyAlignment="1" applyProtection="1">
      <alignment horizontal="center" vertical="center"/>
    </xf>
    <xf numFmtId="2" fontId="15" fillId="10" borderId="5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4" fillId="5" borderId="0" xfId="0" applyNumberFormat="1" applyFont="1" applyFill="1" applyBorder="1" applyAlignment="1" applyProtection="1">
      <alignment horizontal="center" vertical="center"/>
    </xf>
    <xf numFmtId="2" fontId="4" fillId="4" borderId="0" xfId="0" applyNumberFormat="1" applyFont="1" applyFill="1" applyBorder="1" applyAlignment="1" applyProtection="1">
      <alignment horizontal="center" vertical="center"/>
    </xf>
    <xf numFmtId="165" fontId="4" fillId="5" borderId="0" xfId="0" applyNumberFormat="1" applyFont="1" applyFill="1" applyBorder="1" applyAlignment="1" applyProtection="1">
      <alignment horizontal="center" vertical="center"/>
    </xf>
    <xf numFmtId="0" fontId="4" fillId="0" borderId="48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2" fontId="4" fillId="0" borderId="33" xfId="0" applyNumberFormat="1" applyFont="1" applyFill="1" applyBorder="1" applyAlignment="1" applyProtection="1">
      <alignment horizontal="center" vertical="center"/>
    </xf>
    <xf numFmtId="165" fontId="4" fillId="0" borderId="33" xfId="0" applyNumberFormat="1" applyFont="1" applyFill="1" applyBorder="1" applyAlignment="1" applyProtection="1">
      <alignment horizontal="center" vertical="center"/>
    </xf>
    <xf numFmtId="165" fontId="4" fillId="0" borderId="61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172" fontId="15" fillId="13" borderId="102" xfId="0" applyNumberFormat="1" applyFont="1" applyFill="1" applyBorder="1" applyAlignment="1" applyProtection="1">
      <alignment horizontal="center" vertical="center"/>
    </xf>
    <xf numFmtId="0" fontId="15" fillId="0" borderId="62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vertical="center"/>
    </xf>
    <xf numFmtId="0" fontId="0" fillId="0" borderId="62" xfId="0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165" fontId="6" fillId="0" borderId="0" xfId="0" applyNumberFormat="1" applyFont="1" applyFill="1" applyBorder="1" applyAlignment="1" applyProtection="1">
      <alignment horizontal="right" vertical="center"/>
    </xf>
    <xf numFmtId="172" fontId="15" fillId="0" borderId="0" xfId="0" applyNumberFormat="1" applyFont="1" applyFill="1" applyBorder="1" applyAlignment="1" applyProtection="1">
      <alignment horizontal="center" vertical="center"/>
    </xf>
    <xf numFmtId="0" fontId="5" fillId="0" borderId="50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72" fontId="6" fillId="0" borderId="0" xfId="0" applyNumberFormat="1" applyFont="1" applyFill="1" applyBorder="1" applyAlignment="1" applyProtection="1">
      <alignment horizontal="center" vertical="center"/>
    </xf>
    <xf numFmtId="165" fontId="4" fillId="0" borderId="62" xfId="0" applyNumberFormat="1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105" xfId="0" applyBorder="1" applyAlignment="1" applyProtection="1">
      <alignment vertical="center"/>
    </xf>
    <xf numFmtId="0" fontId="15" fillId="0" borderId="106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vertical="center"/>
    </xf>
    <xf numFmtId="3" fontId="3" fillId="0" borderId="107" xfId="0" applyNumberFormat="1" applyFont="1" applyFill="1" applyBorder="1" applyAlignment="1" applyProtection="1">
      <alignment horizontal="center" vertical="center" wrapText="1"/>
    </xf>
    <xf numFmtId="0" fontId="3" fillId="0" borderId="74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173" fontId="3" fillId="0" borderId="76" xfId="0" applyNumberFormat="1" applyFont="1" applyFill="1" applyBorder="1" applyAlignment="1" applyProtection="1">
      <alignment horizontal="center" vertical="center"/>
    </xf>
    <xf numFmtId="0" fontId="3" fillId="0" borderId="42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3" fontId="3" fillId="0" borderId="43" xfId="0" applyNumberFormat="1" applyFont="1" applyFill="1" applyBorder="1" applyAlignment="1" applyProtection="1">
      <alignment horizontal="center" vertical="center"/>
    </xf>
    <xf numFmtId="0" fontId="3" fillId="0" borderId="77" xfId="0" applyNumberFormat="1" applyFont="1" applyFill="1" applyBorder="1" applyAlignment="1" applyProtection="1">
      <alignment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173" fontId="3" fillId="0" borderId="80" xfId="0" applyNumberFormat="1" applyFont="1" applyFill="1" applyBorder="1" applyAlignment="1" applyProtection="1">
      <alignment horizontal="center" vertical="center"/>
    </xf>
    <xf numFmtId="0" fontId="5" fillId="0" borderId="29" xfId="0" applyNumberFormat="1" applyFont="1" applyFill="1" applyBorder="1" applyAlignment="1" applyProtection="1">
      <alignment vertical="center"/>
    </xf>
    <xf numFmtId="0" fontId="3" fillId="0" borderId="29" xfId="0" applyNumberFormat="1" applyFont="1" applyFill="1" applyBorder="1" applyAlignment="1" applyProtection="1">
      <alignment vertical="center"/>
    </xf>
    <xf numFmtId="0" fontId="3" fillId="0" borderId="29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vertical="center"/>
    </xf>
    <xf numFmtId="0" fontId="5" fillId="0" borderId="78" xfId="0" applyNumberFormat="1" applyFont="1" applyFill="1" applyBorder="1" applyAlignment="1" applyProtection="1">
      <alignment vertical="center"/>
    </xf>
    <xf numFmtId="0" fontId="3" fillId="0" borderId="78" xfId="0" applyNumberFormat="1" applyFont="1" applyFill="1" applyBorder="1" applyAlignment="1" applyProtection="1">
      <alignment vertical="center"/>
    </xf>
    <xf numFmtId="0" fontId="3" fillId="0" borderId="78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vertical="center"/>
    </xf>
    <xf numFmtId="173" fontId="3" fillId="0" borderId="73" xfId="0" applyNumberFormat="1" applyFont="1" applyFill="1" applyBorder="1" applyAlignment="1" applyProtection="1">
      <alignment horizontal="center" vertical="center"/>
    </xf>
    <xf numFmtId="0" fontId="3" fillId="0" borderId="50" xfId="0" applyNumberFormat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right" vertical="center"/>
    </xf>
    <xf numFmtId="165" fontId="5" fillId="0" borderId="108" xfId="0" applyNumberFormat="1" applyFont="1" applyFill="1" applyBorder="1" applyAlignment="1" applyProtection="1">
      <alignment horizontal="center" vertical="center"/>
    </xf>
    <xf numFmtId="170" fontId="15" fillId="13" borderId="102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right" vertical="center"/>
    </xf>
    <xf numFmtId="165" fontId="15" fillId="14" borderId="102" xfId="0" applyNumberFormat="1" applyFont="1" applyFill="1" applyBorder="1" applyAlignment="1" applyProtection="1">
      <alignment horizontal="center" vertical="center"/>
    </xf>
    <xf numFmtId="170" fontId="5" fillId="0" borderId="37" xfId="0" applyNumberFormat="1" applyFont="1" applyFill="1" applyBorder="1" applyAlignment="1" applyProtection="1">
      <alignment horizontal="center" vertical="center"/>
    </xf>
    <xf numFmtId="170" fontId="4" fillId="0" borderId="6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70" fontId="5" fillId="0" borderId="102" xfId="0" applyNumberFormat="1" applyFont="1" applyFill="1" applyBorder="1" applyAlignment="1" applyProtection="1">
      <alignment horizontal="center" vertical="center"/>
    </xf>
    <xf numFmtId="170" fontId="15" fillId="15" borderId="10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170" fontId="5" fillId="0" borderId="109" xfId="0" applyNumberFormat="1" applyFont="1" applyFill="1" applyBorder="1" applyAlignment="1" applyProtection="1">
      <alignment horizontal="center" vertical="center"/>
    </xf>
    <xf numFmtId="0" fontId="5" fillId="0" borderId="35" xfId="0" applyNumberFormat="1" applyFont="1" applyFill="1" applyBorder="1" applyAlignment="1" applyProtection="1">
      <alignment vertical="center"/>
    </xf>
    <xf numFmtId="0" fontId="5" fillId="0" borderId="36" xfId="0" applyNumberFormat="1" applyFont="1" applyFill="1" applyBorder="1" applyAlignment="1" applyProtection="1">
      <alignment vertical="center"/>
    </xf>
    <xf numFmtId="0" fontId="4" fillId="0" borderId="36" xfId="0" applyNumberFormat="1" applyFont="1" applyFill="1" applyBorder="1" applyAlignment="1" applyProtection="1">
      <alignment vertical="center"/>
    </xf>
    <xf numFmtId="0" fontId="4" fillId="0" borderId="36" xfId="0" applyNumberFormat="1" applyFont="1" applyFill="1" applyBorder="1" applyAlignment="1" applyProtection="1">
      <alignment horizontal="left" vertical="center"/>
    </xf>
    <xf numFmtId="167" fontId="4" fillId="0" borderId="37" xfId="0" applyNumberFormat="1" applyFont="1" applyFill="1" applyBorder="1" applyAlignment="1" applyProtection="1">
      <alignment horizontal="center" vertical="center"/>
    </xf>
    <xf numFmtId="167" fontId="4" fillId="0" borderId="0" xfId="0" applyNumberFormat="1" applyFont="1" applyFill="1" applyBorder="1" applyAlignment="1" applyProtection="1">
      <alignment horizontal="center" vertical="center"/>
    </xf>
    <xf numFmtId="0" fontId="15" fillId="0" borderId="48" xfId="0" applyFont="1" applyBorder="1" applyAlignment="1" applyProtection="1">
      <alignment vertical="center"/>
    </xf>
    <xf numFmtId="0" fontId="15" fillId="0" borderId="33" xfId="0" applyNumberFormat="1" applyFont="1" applyFill="1" applyBorder="1" applyAlignment="1" applyProtection="1">
      <alignment horizontal="left" vertical="center"/>
    </xf>
    <xf numFmtId="0" fontId="3" fillId="0" borderId="33" xfId="0" applyNumberFormat="1" applyFont="1" applyFill="1" applyBorder="1" applyAlignment="1" applyProtection="1">
      <alignment horizontal="right" vertical="center"/>
    </xf>
    <xf numFmtId="0" fontId="15" fillId="0" borderId="61" xfId="0" applyFont="1" applyBorder="1" applyAlignment="1" applyProtection="1">
      <alignment vertical="center"/>
    </xf>
    <xf numFmtId="165" fontId="7" fillId="0" borderId="110" xfId="0" applyNumberFormat="1" applyFont="1" applyFill="1" applyBorder="1" applyAlignment="1" applyProtection="1">
      <alignment horizontal="center" vertical="center"/>
    </xf>
    <xf numFmtId="165" fontId="5" fillId="16" borderId="111" xfId="0" applyNumberFormat="1" applyFont="1" applyFill="1" applyBorder="1" applyAlignment="1" applyProtection="1">
      <alignment horizontal="center" vertical="center"/>
    </xf>
    <xf numFmtId="165" fontId="24" fillId="0" borderId="62" xfId="0" applyNumberFormat="1" applyFont="1" applyBorder="1" applyAlignment="1" applyProtection="1">
      <alignment horizontal="center" vertical="center"/>
    </xf>
    <xf numFmtId="0" fontId="0" fillId="0" borderId="50" xfId="0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vertical="center"/>
    </xf>
    <xf numFmtId="0" fontId="4" fillId="0" borderId="5" xfId="0" applyNumberFormat="1" applyFont="1" applyFill="1" applyBorder="1" applyAlignment="1" applyProtection="1">
      <alignment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168" fontId="3" fillId="0" borderId="107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</xf>
    <xf numFmtId="173" fontId="3" fillId="0" borderId="76" xfId="0" applyNumberFormat="1" applyFont="1" applyBorder="1" applyAlignment="1" applyProtection="1">
      <alignment horizontal="center" vertical="center"/>
    </xf>
    <xf numFmtId="173" fontId="3" fillId="0" borderId="43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173" fontId="3" fillId="0" borderId="73" xfId="0" applyNumberFormat="1" applyFont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vertical="center"/>
    </xf>
    <xf numFmtId="170" fontId="0" fillId="0" borderId="107" xfId="0" applyNumberFormat="1" applyBorder="1" applyAlignment="1" applyProtection="1">
      <alignment horizontal="center" vertical="center"/>
    </xf>
    <xf numFmtId="3" fontId="3" fillId="0" borderId="62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0" fontId="15" fillId="15" borderId="109" xfId="0" applyNumberFormat="1" applyFont="1" applyFill="1" applyBorder="1" applyAlignment="1" applyProtection="1">
      <alignment horizontal="center" vertical="center"/>
    </xf>
    <xf numFmtId="167" fontId="4" fillId="0" borderId="62" xfId="0" applyNumberFormat="1" applyFont="1" applyFill="1" applyBorder="1" applyAlignment="1" applyProtection="1">
      <alignment horizontal="center" vertical="center"/>
    </xf>
    <xf numFmtId="0" fontId="6" fillId="0" borderId="35" xfId="0" applyNumberFormat="1" applyFont="1" applyFill="1" applyBorder="1" applyAlignment="1" applyProtection="1">
      <alignment vertical="center"/>
    </xf>
    <xf numFmtId="0" fontId="6" fillId="0" borderId="36" xfId="0" applyNumberFormat="1" applyFont="1" applyFill="1" applyBorder="1" applyAlignment="1" applyProtection="1">
      <alignment vertical="center"/>
    </xf>
    <xf numFmtId="0" fontId="3" fillId="0" borderId="36" xfId="0" applyFont="1" applyFill="1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2" fontId="4" fillId="0" borderId="0" xfId="0" applyNumberFormat="1" applyFont="1" applyBorder="1" applyAlignment="1" applyProtection="1">
      <alignment horizontal="center" vertical="center"/>
    </xf>
    <xf numFmtId="2" fontId="5" fillId="0" borderId="112" xfId="0" applyNumberFormat="1" applyFont="1" applyFill="1" applyBorder="1" applyAlignment="1" applyProtection="1">
      <alignment horizontal="center" vertical="center"/>
    </xf>
    <xf numFmtId="3" fontId="15" fillId="10" borderId="49" xfId="0" applyNumberFormat="1" applyFont="1" applyFill="1" applyBorder="1" applyAlignment="1" applyProtection="1">
      <alignment horizontal="center" vertical="center"/>
      <protection locked="0"/>
    </xf>
    <xf numFmtId="165" fontId="15" fillId="10" borderId="59" xfId="0" applyNumberFormat="1" applyFont="1" applyFill="1" applyBorder="1" applyAlignment="1" applyProtection="1">
      <alignment horizontal="center" vertical="center"/>
      <protection locked="0"/>
    </xf>
    <xf numFmtId="165" fontId="5" fillId="10" borderId="1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166" fontId="7" fillId="0" borderId="6" xfId="0" applyNumberFormat="1" applyFont="1" applyFill="1" applyBorder="1" applyAlignment="1" applyProtection="1">
      <alignment horizontal="center" vertical="center" wrapText="1"/>
    </xf>
    <xf numFmtId="4" fontId="7" fillId="7" borderId="6" xfId="0" applyNumberFormat="1" applyFont="1" applyFill="1" applyBorder="1" applyAlignment="1" applyProtection="1">
      <alignment horizontal="center" vertical="center" wrapText="1"/>
    </xf>
    <xf numFmtId="4" fontId="7" fillId="7" borderId="114" xfId="0" applyNumberFormat="1" applyFont="1" applyFill="1" applyBorder="1" applyAlignment="1" applyProtection="1">
      <alignment horizontal="center" vertical="center" wrapText="1"/>
    </xf>
    <xf numFmtId="4" fontId="7" fillId="0" borderId="115" xfId="0" applyNumberFormat="1" applyFont="1" applyFill="1" applyBorder="1" applyAlignment="1" applyProtection="1">
      <alignment horizontal="center" vertical="center" wrapText="1"/>
    </xf>
    <xf numFmtId="4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3" fontId="7" fillId="0" borderId="11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4" fontId="4" fillId="3" borderId="20" xfId="0" applyNumberFormat="1" applyFont="1" applyFill="1" applyBorder="1" applyAlignment="1" applyProtection="1">
      <alignment horizontal="center" vertical="center"/>
    </xf>
    <xf numFmtId="4" fontId="4" fillId="0" borderId="33" xfId="0" applyNumberFormat="1" applyFont="1" applyFill="1" applyBorder="1" applyAlignment="1" applyProtection="1">
      <alignment horizontal="center" vertical="center"/>
    </xf>
    <xf numFmtId="4" fontId="7" fillId="0" borderId="33" xfId="0" applyNumberFormat="1" applyFont="1" applyFill="1" applyBorder="1" applyAlignment="1" applyProtection="1">
      <alignment horizontal="center" vertical="center"/>
    </xf>
    <xf numFmtId="4" fontId="4" fillId="10" borderId="10" xfId="0" applyNumberFormat="1" applyFont="1" applyFill="1" applyBorder="1" applyAlignment="1" applyProtection="1">
      <alignment horizontal="center" vertical="center"/>
      <protection locked="0"/>
    </xf>
    <xf numFmtId="4" fontId="4" fillId="10" borderId="16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</xf>
    <xf numFmtId="4" fontId="4" fillId="10" borderId="21" xfId="0" applyNumberFormat="1" applyFont="1" applyFill="1" applyBorder="1" applyAlignment="1" applyProtection="1">
      <alignment horizontal="center" vertical="center"/>
      <protection locked="0"/>
    </xf>
    <xf numFmtId="4" fontId="4" fillId="2" borderId="103" xfId="0" applyNumberFormat="1" applyFont="1" applyFill="1" applyBorder="1" applyAlignment="1" applyProtection="1">
      <alignment horizontal="center" vertical="center"/>
      <protection locked="0"/>
    </xf>
    <xf numFmtId="4" fontId="4" fillId="2" borderId="99" xfId="0" applyNumberFormat="1" applyFont="1" applyFill="1" applyBorder="1" applyAlignment="1" applyProtection="1">
      <alignment horizontal="center" vertical="center"/>
      <protection locked="0"/>
    </xf>
    <xf numFmtId="2" fontId="4" fillId="3" borderId="21" xfId="0" applyNumberFormat="1" applyFont="1" applyFill="1" applyBorder="1" applyAlignment="1" applyProtection="1">
      <alignment horizontal="center" vertical="center"/>
    </xf>
    <xf numFmtId="2" fontId="4" fillId="3" borderId="22" xfId="0" applyNumberFormat="1" applyFont="1" applyFill="1" applyBorder="1" applyAlignment="1" applyProtection="1">
      <alignment horizontal="center" vertical="center"/>
    </xf>
    <xf numFmtId="170" fontId="4" fillId="0" borderId="0" xfId="0" applyNumberFormat="1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172" fontId="4" fillId="0" borderId="0" xfId="0" applyNumberFormat="1" applyFont="1" applyBorder="1" applyAlignment="1" applyProtection="1">
      <alignment horizontal="center" vertical="center"/>
    </xf>
    <xf numFmtId="177" fontId="4" fillId="0" borderId="0" xfId="0" applyNumberFormat="1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center" vertical="center"/>
    </xf>
    <xf numFmtId="4" fontId="11" fillId="0" borderId="0" xfId="0" applyNumberFormat="1" applyFont="1" applyAlignment="1" applyProtection="1">
      <alignment horizontal="right" vertical="center"/>
    </xf>
    <xf numFmtId="4" fontId="0" fillId="0" borderId="17" xfId="0" applyNumberFormat="1" applyBorder="1" applyAlignment="1" applyProtection="1">
      <alignment vertical="center"/>
    </xf>
    <xf numFmtId="0" fontId="21" fillId="0" borderId="4" xfId="0" applyFont="1" applyBorder="1" applyAlignment="1" applyProtection="1">
      <alignment vertical="center"/>
    </xf>
    <xf numFmtId="0" fontId="21" fillId="0" borderId="5" xfId="0" applyFont="1" applyBorder="1" applyAlignment="1" applyProtection="1">
      <alignment vertical="center"/>
    </xf>
    <xf numFmtId="0" fontId="7" fillId="0" borderId="5" xfId="0" applyNumberFormat="1" applyFont="1" applyFill="1" applyBorder="1" applyAlignment="1" applyProtection="1">
      <alignment horizontal="right" vertical="center"/>
    </xf>
    <xf numFmtId="0" fontId="15" fillId="0" borderId="4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2" fontId="3" fillId="10" borderId="54" xfId="0" applyNumberFormat="1" applyFont="1" applyFill="1" applyBorder="1" applyAlignment="1" applyProtection="1">
      <alignment horizontal="center" vertical="center"/>
      <protection locked="0"/>
    </xf>
    <xf numFmtId="2" fontId="3" fillId="2" borderId="51" xfId="0" applyNumberFormat="1" applyFont="1" applyFill="1" applyBorder="1" applyAlignment="1" applyProtection="1">
      <alignment horizontal="center" vertical="center"/>
      <protection locked="0"/>
    </xf>
    <xf numFmtId="2" fontId="3" fillId="10" borderId="116" xfId="0" applyNumberFormat="1" applyFont="1" applyFill="1" applyBorder="1" applyAlignment="1" applyProtection="1">
      <alignment horizontal="center" vertical="center"/>
      <protection locked="0"/>
    </xf>
    <xf numFmtId="173" fontId="3" fillId="0" borderId="54" xfId="0" applyNumberFormat="1" applyFont="1" applyFill="1" applyBorder="1" applyAlignment="1" applyProtection="1">
      <alignment horizontal="center" vertical="center"/>
    </xf>
    <xf numFmtId="173" fontId="3" fillId="0" borderId="51" xfId="0" applyNumberFormat="1" applyFont="1" applyFill="1" applyBorder="1" applyAlignment="1" applyProtection="1">
      <alignment horizontal="center" vertical="center"/>
    </xf>
    <xf numFmtId="173" fontId="3" fillId="0" borderId="116" xfId="0" applyNumberFormat="1" applyFont="1" applyFill="1" applyBorder="1" applyAlignment="1" applyProtection="1">
      <alignment horizontal="center" vertical="center"/>
    </xf>
    <xf numFmtId="173" fontId="3" fillId="0" borderId="59" xfId="0" applyNumberFormat="1" applyFont="1" applyFill="1" applyBorder="1" applyAlignment="1" applyProtection="1">
      <alignment horizontal="center" vertical="center"/>
    </xf>
    <xf numFmtId="0" fontId="4" fillId="0" borderId="117" xfId="0" applyNumberFormat="1" applyFont="1" applyFill="1" applyBorder="1" applyAlignment="1" applyProtection="1">
      <alignment horizontal="center" vertical="center" wrapText="1"/>
    </xf>
    <xf numFmtId="0" fontId="3" fillId="0" borderId="117" xfId="0" applyNumberFormat="1" applyFont="1" applyFill="1" applyBorder="1" applyAlignment="1" applyProtection="1">
      <alignment horizontal="center" vertical="center" wrapText="1"/>
    </xf>
    <xf numFmtId="0" fontId="3" fillId="0" borderId="117" xfId="0" applyFont="1" applyBorder="1" applyAlignment="1" applyProtection="1">
      <alignment horizontal="center" vertical="center" wrapText="1"/>
    </xf>
    <xf numFmtId="173" fontId="3" fillId="10" borderId="54" xfId="0" applyNumberFormat="1" applyFont="1" applyFill="1" applyBorder="1" applyAlignment="1" applyProtection="1">
      <alignment horizontal="center" vertical="center"/>
      <protection locked="0"/>
    </xf>
    <xf numFmtId="173" fontId="3" fillId="10" borderId="51" xfId="0" applyNumberFormat="1" applyFont="1" applyFill="1" applyBorder="1" applyAlignment="1" applyProtection="1">
      <alignment horizontal="center" vertical="center"/>
      <protection locked="0"/>
    </xf>
    <xf numFmtId="173" fontId="3" fillId="10" borderId="116" xfId="0" applyNumberFormat="1" applyFont="1" applyFill="1" applyBorder="1" applyAlignment="1" applyProtection="1">
      <alignment horizontal="center" vertical="center"/>
      <protection locked="0"/>
    </xf>
    <xf numFmtId="173" fontId="3" fillId="0" borderId="118" xfId="0" applyNumberFormat="1" applyFont="1" applyFill="1" applyBorder="1" applyAlignment="1" applyProtection="1">
      <alignment horizontal="center" vertical="center"/>
    </xf>
    <xf numFmtId="0" fontId="4" fillId="0" borderId="119" xfId="0" applyNumberFormat="1" applyFont="1" applyFill="1" applyBorder="1" applyAlignment="1" applyProtection="1">
      <alignment horizontal="center" vertical="center" wrapText="1"/>
    </xf>
    <xf numFmtId="0" fontId="3" fillId="0" borderId="120" xfId="0" applyNumberFormat="1" applyFont="1" applyFill="1" applyBorder="1" applyAlignment="1" applyProtection="1">
      <alignment horizontal="center" vertical="center" wrapText="1"/>
    </xf>
    <xf numFmtId="2" fontId="3" fillId="10" borderId="12" xfId="0" applyNumberFormat="1" applyFont="1" applyFill="1" applyBorder="1" applyAlignment="1" applyProtection="1">
      <alignment horizontal="center" vertical="center"/>
      <protection locked="0"/>
    </xf>
    <xf numFmtId="2" fontId="3" fillId="10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57" xfId="0" applyNumberFormat="1" applyFont="1" applyFill="1" applyBorder="1" applyAlignment="1" applyProtection="1">
      <alignment horizontal="center" vertical="center"/>
      <protection locked="0"/>
    </xf>
    <xf numFmtId="2" fontId="3" fillId="10" borderId="121" xfId="0" applyNumberFormat="1" applyFont="1" applyFill="1" applyBorder="1" applyAlignment="1" applyProtection="1">
      <alignment horizontal="center" vertical="center"/>
      <protection locked="0"/>
    </xf>
    <xf numFmtId="2" fontId="3" fillId="10" borderId="122" xfId="0" applyNumberFormat="1" applyFont="1" applyFill="1" applyBorder="1" applyAlignment="1" applyProtection="1">
      <alignment horizontal="center" vertical="center"/>
      <protection locked="0"/>
    </xf>
    <xf numFmtId="2" fontId="3" fillId="10" borderId="123" xfId="0" applyNumberFormat="1" applyFont="1" applyFill="1" applyBorder="1" applyAlignment="1" applyProtection="1">
      <alignment horizontal="center" vertical="center"/>
      <protection locked="0"/>
    </xf>
    <xf numFmtId="0" fontId="4" fillId="0" borderId="117" xfId="0" applyNumberFormat="1" applyFont="1" applyFill="1" applyBorder="1" applyAlignment="1" applyProtection="1">
      <alignment vertical="center"/>
    </xf>
    <xf numFmtId="3" fontId="3" fillId="10" borderId="54" xfId="0" applyNumberFormat="1" applyFont="1" applyFill="1" applyBorder="1" applyAlignment="1" applyProtection="1">
      <alignment horizontal="center" vertical="center"/>
      <protection locked="0"/>
    </xf>
    <xf numFmtId="0" fontId="4" fillId="0" borderId="118" xfId="0" applyFont="1" applyBorder="1" applyAlignment="1" applyProtection="1">
      <alignment horizontal="center" vertical="center"/>
    </xf>
    <xf numFmtId="165" fontId="3" fillId="10" borderId="54" xfId="0" applyNumberFormat="1" applyFont="1" applyFill="1" applyBorder="1" applyAlignment="1" applyProtection="1">
      <alignment horizontal="center" vertical="center"/>
      <protection locked="0"/>
    </xf>
    <xf numFmtId="173" fontId="3" fillId="0" borderId="54" xfId="0" applyNumberFormat="1" applyFont="1" applyBorder="1" applyAlignment="1" applyProtection="1">
      <alignment horizontal="center" vertical="center"/>
    </xf>
    <xf numFmtId="3" fontId="3" fillId="10" borderId="51" xfId="0" applyNumberFormat="1" applyFont="1" applyFill="1" applyBorder="1" applyAlignment="1" applyProtection="1">
      <alignment horizontal="center" vertical="center"/>
      <protection locked="0"/>
    </xf>
    <xf numFmtId="0" fontId="4" fillId="0" borderId="124" xfId="0" applyFont="1" applyBorder="1" applyAlignment="1" applyProtection="1">
      <alignment horizontal="center" vertical="center"/>
    </xf>
    <xf numFmtId="165" fontId="3" fillId="10" borderId="51" xfId="0" applyNumberFormat="1" applyFont="1" applyFill="1" applyBorder="1" applyAlignment="1" applyProtection="1">
      <alignment horizontal="center" vertical="center"/>
      <protection locked="0"/>
    </xf>
    <xf numFmtId="173" fontId="3" fillId="0" borderId="51" xfId="0" applyNumberFormat="1" applyFont="1" applyBorder="1" applyAlignment="1" applyProtection="1">
      <alignment horizontal="center" vertical="center"/>
    </xf>
    <xf numFmtId="2" fontId="3" fillId="2" borderId="125" xfId="0" applyNumberFormat="1" applyFont="1" applyFill="1" applyBorder="1" applyAlignment="1" applyProtection="1">
      <alignment horizontal="center" vertical="center"/>
      <protection locked="0"/>
    </xf>
    <xf numFmtId="3" fontId="3" fillId="10" borderId="125" xfId="0" applyNumberFormat="1" applyFont="1" applyFill="1" applyBorder="1" applyAlignment="1" applyProtection="1">
      <alignment horizontal="center" vertical="center"/>
      <protection locked="0"/>
    </xf>
    <xf numFmtId="0" fontId="4" fillId="0" borderId="126" xfId="0" applyFont="1" applyBorder="1" applyAlignment="1" applyProtection="1">
      <alignment horizontal="center" vertical="center"/>
    </xf>
    <xf numFmtId="165" fontId="3" fillId="10" borderId="125" xfId="0" applyNumberFormat="1" applyFont="1" applyFill="1" applyBorder="1" applyAlignment="1" applyProtection="1">
      <alignment horizontal="center" vertical="center"/>
      <protection locked="0"/>
    </xf>
    <xf numFmtId="173" fontId="3" fillId="0" borderId="125" xfId="0" applyNumberFormat="1" applyFont="1" applyBorder="1" applyAlignment="1" applyProtection="1">
      <alignment horizontal="center" vertical="center"/>
    </xf>
    <xf numFmtId="0" fontId="15" fillId="0" borderId="5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1" fillId="0" borderId="0" xfId="0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/>
    <xf numFmtId="4" fontId="24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1" fillId="0" borderId="0" xfId="0" applyFont="1" applyFill="1" applyAlignment="1" applyProtection="1"/>
    <xf numFmtId="3" fontId="24" fillId="0" borderId="0" xfId="0" applyNumberFormat="1" applyFont="1" applyFill="1" applyBorder="1" applyAlignment="1" applyProtection="1">
      <alignment horizontal="center"/>
    </xf>
    <xf numFmtId="3" fontId="24" fillId="0" borderId="62" xfId="0" applyNumberFormat="1" applyFont="1" applyFill="1" applyBorder="1" applyAlignment="1" applyProtection="1">
      <alignment horizontal="center"/>
    </xf>
    <xf numFmtId="3" fontId="10" fillId="0" borderId="45" xfId="0" applyNumberFormat="1" applyFont="1" applyFill="1" applyBorder="1" applyAlignment="1" applyProtection="1">
      <alignment horizontal="center" vertical="center"/>
    </xf>
    <xf numFmtId="0" fontId="5" fillId="0" borderId="101" xfId="0" applyFont="1" applyFill="1" applyBorder="1" applyAlignment="1" applyProtection="1">
      <alignment vertical="center"/>
    </xf>
    <xf numFmtId="0" fontId="10" fillId="0" borderId="33" xfId="0" applyNumberFormat="1" applyFont="1" applyFill="1" applyBorder="1" applyAlignment="1" applyProtection="1">
      <alignment vertical="center"/>
    </xf>
    <xf numFmtId="0" fontId="11" fillId="0" borderId="33" xfId="0" applyFont="1" applyFill="1" applyBorder="1" applyAlignment="1" applyProtection="1">
      <alignment vertical="center"/>
    </xf>
    <xf numFmtId="0" fontId="11" fillId="0" borderId="33" xfId="0" applyNumberFormat="1" applyFont="1" applyFill="1" applyBorder="1" applyAlignment="1" applyProtection="1">
      <alignment horizontal="left" vertical="center"/>
    </xf>
    <xf numFmtId="0" fontId="11" fillId="0" borderId="33" xfId="0" applyNumberFormat="1" applyFont="1" applyFill="1" applyBorder="1" applyAlignment="1" applyProtection="1">
      <alignment vertical="center"/>
    </xf>
    <xf numFmtId="4" fontId="11" fillId="0" borderId="33" xfId="0" applyNumberFormat="1" applyFont="1" applyFill="1" applyBorder="1" applyAlignment="1" applyProtection="1">
      <alignment vertical="center"/>
    </xf>
    <xf numFmtId="0" fontId="10" fillId="11" borderId="0" xfId="0" applyNumberFormat="1" applyFont="1" applyFill="1" applyBorder="1" applyAlignment="1" applyProtection="1">
      <alignment vertical="center"/>
    </xf>
    <xf numFmtId="0" fontId="10" fillId="11" borderId="0" xfId="0" applyFont="1" applyFill="1" applyBorder="1" applyAlignment="1" applyProtection="1">
      <alignment vertical="center"/>
    </xf>
    <xf numFmtId="0" fontId="10" fillId="11" borderId="0" xfId="0" applyNumberFormat="1" applyFont="1" applyFill="1" applyBorder="1" applyAlignment="1" applyProtection="1">
      <alignment horizontal="left" vertical="center"/>
    </xf>
    <xf numFmtId="4" fontId="10" fillId="11" borderId="0" xfId="0" applyNumberFormat="1" applyFont="1" applyFill="1" applyBorder="1" applyAlignment="1" applyProtection="1">
      <alignment vertical="center"/>
    </xf>
    <xf numFmtId="0" fontId="5" fillId="11" borderId="0" xfId="0" applyFont="1" applyFill="1" applyBorder="1" applyAlignment="1" applyProtection="1">
      <alignment vertical="center"/>
    </xf>
    <xf numFmtId="0" fontId="5" fillId="11" borderId="62" xfId="0" applyFont="1" applyFill="1" applyBorder="1" applyAlignment="1" applyProtection="1">
      <alignment vertical="center"/>
    </xf>
    <xf numFmtId="0" fontId="8" fillId="11" borderId="0" xfId="0" applyNumberFormat="1" applyFont="1" applyFill="1" applyBorder="1" applyAlignment="1" applyProtection="1">
      <alignment vertical="center"/>
    </xf>
    <xf numFmtId="0" fontId="4" fillId="0" borderId="85" xfId="0" applyNumberFormat="1" applyFont="1" applyFill="1" applyBorder="1" applyAlignment="1" applyProtection="1">
      <alignment horizontal="center" vertical="center"/>
    </xf>
    <xf numFmtId="0" fontId="15" fillId="0" borderId="39" xfId="0" applyNumberFormat="1" applyFont="1" applyFill="1" applyBorder="1" applyAlignment="1" applyProtection="1">
      <alignment horizontal="left" vertical="center"/>
    </xf>
    <xf numFmtId="0" fontId="15" fillId="0" borderId="31" xfId="0" applyNumberFormat="1" applyFont="1" applyFill="1" applyBorder="1" applyAlignment="1" applyProtection="1">
      <alignment horizontal="left" vertical="center"/>
    </xf>
    <xf numFmtId="0" fontId="15" fillId="0" borderId="39" xfId="0" applyNumberFormat="1" applyFont="1" applyFill="1" applyBorder="1" applyAlignment="1" applyProtection="1">
      <alignment vertical="center"/>
    </xf>
    <xf numFmtId="0" fontId="15" fillId="0" borderId="31" xfId="0" applyNumberFormat="1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/>
    </xf>
    <xf numFmtId="3" fontId="28" fillId="0" borderId="3" xfId="0" applyNumberFormat="1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 wrapText="1"/>
    </xf>
    <xf numFmtId="3" fontId="28" fillId="0" borderId="0" xfId="0" applyNumberFormat="1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4" fillId="0" borderId="127" xfId="0" applyNumberFormat="1" applyFont="1" applyFill="1" applyBorder="1" applyAlignment="1" applyProtection="1">
      <alignment horizontal="centerContinuous" vertical="center"/>
    </xf>
    <xf numFmtId="165" fontId="4" fillId="2" borderId="128" xfId="0" applyNumberFormat="1" applyFont="1" applyFill="1" applyBorder="1" applyAlignment="1" applyProtection="1">
      <alignment horizontal="center" vertical="center"/>
      <protection locked="0"/>
    </xf>
    <xf numFmtId="170" fontId="4" fillId="0" borderId="128" xfId="0" applyNumberFormat="1" applyFont="1" applyFill="1" applyBorder="1" applyAlignment="1" applyProtection="1">
      <alignment horizontal="center" vertical="center"/>
    </xf>
    <xf numFmtId="165" fontId="4" fillId="0" borderId="62" xfId="0" applyNumberFormat="1" applyFont="1" applyFill="1" applyBorder="1" applyAlignment="1" applyProtection="1">
      <alignment horizontal="right" vertical="center"/>
    </xf>
    <xf numFmtId="4" fontId="4" fillId="0" borderId="40" xfId="0" applyNumberFormat="1" applyFont="1" applyFill="1" applyBorder="1" applyAlignment="1" applyProtection="1">
      <alignment horizontal="center" vertical="center"/>
    </xf>
    <xf numFmtId="4" fontId="4" fillId="0" borderId="72" xfId="0" applyNumberFormat="1" applyFont="1" applyFill="1" applyBorder="1" applyAlignment="1" applyProtection="1">
      <alignment horizontal="center" vertical="center"/>
    </xf>
    <xf numFmtId="4" fontId="4" fillId="0" borderId="22" xfId="0" applyNumberFormat="1" applyFont="1" applyFill="1" applyBorder="1" applyAlignment="1" applyProtection="1">
      <alignment horizontal="center" vertical="center"/>
    </xf>
    <xf numFmtId="0" fontId="4" fillId="10" borderId="0" xfId="0" applyNumberFormat="1" applyFont="1" applyFill="1" applyBorder="1" applyAlignment="1" applyProtection="1">
      <alignment vertical="center"/>
      <protection locked="0"/>
    </xf>
    <xf numFmtId="0" fontId="4" fillId="0" borderId="127" xfId="0" applyNumberFormat="1" applyFont="1" applyFill="1" applyBorder="1" applyAlignment="1" applyProtection="1">
      <alignment horizontal="center" vertical="center"/>
    </xf>
    <xf numFmtId="0" fontId="0" fillId="0" borderId="128" xfId="0" applyBorder="1" applyAlignment="1" applyProtection="1">
      <alignment vertical="center"/>
    </xf>
    <xf numFmtId="165" fontId="4" fillId="2" borderId="62" xfId="0" applyNumberFormat="1" applyFont="1" applyFill="1" applyBorder="1" applyAlignment="1" applyProtection="1">
      <alignment horizontal="right" vertical="center"/>
      <protection locked="0"/>
    </xf>
    <xf numFmtId="165" fontId="4" fillId="2" borderId="21" xfId="0" applyNumberFormat="1" applyFont="1" applyFill="1" applyBorder="1" applyAlignment="1" applyProtection="1">
      <alignment horizontal="center" vertical="center"/>
      <protection locked="0"/>
    </xf>
    <xf numFmtId="165" fontId="4" fillId="0" borderId="6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vertical="top"/>
    </xf>
    <xf numFmtId="3" fontId="28" fillId="0" borderId="0" xfId="0" applyNumberFormat="1" applyFont="1" applyBorder="1" applyAlignment="1" applyProtection="1">
      <alignment vertical="center"/>
    </xf>
    <xf numFmtId="170" fontId="28" fillId="0" borderId="0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 wrapText="1"/>
    </xf>
    <xf numFmtId="170" fontId="15" fillId="0" borderId="102" xfId="0" applyNumberFormat="1" applyFont="1" applyFill="1" applyBorder="1" applyAlignment="1" applyProtection="1">
      <alignment horizontal="center" vertical="center"/>
    </xf>
    <xf numFmtId="165" fontId="7" fillId="0" borderId="129" xfId="0" applyNumberFormat="1" applyFont="1" applyBorder="1" applyAlignment="1" applyProtection="1">
      <alignment horizontal="center" vertical="center"/>
    </xf>
    <xf numFmtId="0" fontId="28" fillId="0" borderId="3" xfId="0" applyFont="1" applyBorder="1" applyAlignment="1" applyProtection="1">
      <alignment horizontal="left" vertical="center" wrapText="1"/>
    </xf>
    <xf numFmtId="3" fontId="28" fillId="0" borderId="3" xfId="0" applyNumberFormat="1" applyFont="1" applyBorder="1" applyAlignment="1" applyProtection="1">
      <alignment vertical="center" wrapText="1"/>
    </xf>
    <xf numFmtId="0" fontId="11" fillId="2" borderId="31" xfId="0" applyNumberFormat="1" applyFont="1" applyFill="1" applyBorder="1" applyAlignment="1" applyProtection="1">
      <alignment horizontal="left" vertical="center"/>
      <protection locked="0"/>
    </xf>
    <xf numFmtId="0" fontId="21" fillId="2" borderId="3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right" vertical="center" wrapText="1"/>
    </xf>
    <xf numFmtId="3" fontId="21" fillId="2" borderId="17" xfId="0" applyNumberFormat="1" applyFont="1" applyFill="1" applyBorder="1" applyAlignment="1" applyProtection="1">
      <alignment horizontal="left" vertical="center"/>
      <protection locked="0"/>
    </xf>
    <xf numFmtId="169" fontId="11" fillId="2" borderId="17" xfId="0" applyNumberFormat="1" applyFont="1" applyFill="1" applyBorder="1" applyAlignment="1" applyProtection="1">
      <alignment horizontal="right" vertical="center"/>
      <protection locked="0"/>
    </xf>
    <xf numFmtId="170" fontId="11" fillId="10" borderId="17" xfId="0" applyNumberFormat="1" applyFont="1" applyFill="1" applyBorder="1" applyAlignment="1" applyProtection="1">
      <alignment horizontal="right" vertical="center"/>
      <protection locked="0"/>
    </xf>
    <xf numFmtId="0" fontId="11" fillId="2" borderId="17" xfId="0" applyNumberFormat="1" applyFont="1" applyFill="1" applyBorder="1" applyAlignment="1" applyProtection="1">
      <alignment horizontal="left" vertical="center"/>
      <protection locked="0"/>
    </xf>
    <xf numFmtId="3" fontId="11" fillId="10" borderId="17" xfId="0" applyNumberFormat="1" applyFont="1" applyFill="1" applyBorder="1" applyAlignment="1" applyProtection="1">
      <alignment horizontal="right" vertical="center"/>
      <protection locked="0"/>
    </xf>
    <xf numFmtId="0" fontId="21" fillId="10" borderId="0" xfId="0" applyNumberFormat="1" applyFont="1" applyFill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/>
      <protection locked="0"/>
    </xf>
    <xf numFmtId="49" fontId="11" fillId="2" borderId="31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</xf>
    <xf numFmtId="0" fontId="6" fillId="0" borderId="33" xfId="0" applyNumberFormat="1" applyFont="1" applyFill="1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3" fontId="28" fillId="0" borderId="3" xfId="0" applyNumberFormat="1" applyFont="1" applyBorder="1" applyAlignment="1" applyProtection="1">
      <alignment horizontal="left" vertical="center" wrapText="1"/>
    </xf>
    <xf numFmtId="2" fontId="4" fillId="2" borderId="130" xfId="0" applyNumberFormat="1" applyFont="1" applyFill="1" applyBorder="1" applyAlignment="1" applyProtection="1">
      <alignment vertical="center"/>
      <protection locked="0"/>
    </xf>
    <xf numFmtId="0" fontId="0" fillId="0" borderId="130" xfId="0" applyBorder="1" applyAlignment="1" applyProtection="1">
      <alignment vertical="center"/>
      <protection locked="0"/>
    </xf>
    <xf numFmtId="0" fontId="0" fillId="0" borderId="131" xfId="0" applyBorder="1" applyAlignment="1" applyProtection="1">
      <alignment vertical="center"/>
      <protection locked="0"/>
    </xf>
    <xf numFmtId="3" fontId="4" fillId="0" borderId="89" xfId="0" applyNumberFormat="1" applyFont="1" applyFill="1" applyBorder="1" applyAlignment="1" applyProtection="1">
      <alignment horizontal="center" vertical="center" wrapText="1"/>
    </xf>
    <xf numFmtId="3" fontId="4" fillId="0" borderId="33" xfId="0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170" fontId="4" fillId="0" borderId="89" xfId="0" applyNumberFormat="1" applyFont="1" applyFill="1" applyBorder="1" applyAlignment="1" applyProtection="1">
      <alignment horizontal="center" vertical="center" wrapText="1"/>
    </xf>
    <xf numFmtId="170" fontId="4" fillId="0" borderId="61" xfId="0" applyNumberFormat="1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05" xfId="0" applyBorder="1" applyAlignment="1" applyProtection="1">
      <alignment horizontal="center" vertical="center"/>
    </xf>
    <xf numFmtId="2" fontId="4" fillId="2" borderId="131" xfId="0" applyNumberFormat="1" applyFont="1" applyFill="1" applyBorder="1" applyAlignment="1" applyProtection="1">
      <alignment vertical="center"/>
      <protection locked="0"/>
    </xf>
    <xf numFmtId="0" fontId="4" fillId="10" borderId="84" xfId="0" applyNumberFormat="1" applyFont="1" applyFill="1" applyBorder="1" applyAlignment="1" applyProtection="1">
      <alignment vertical="center"/>
      <protection locked="0"/>
    </xf>
    <xf numFmtId="0" fontId="4" fillId="10" borderId="31" xfId="0" applyNumberFormat="1" applyFont="1" applyFill="1" applyBorder="1" applyAlignment="1" applyProtection="1">
      <alignment vertical="center"/>
      <protection locked="0"/>
    </xf>
    <xf numFmtId="0" fontId="4" fillId="10" borderId="29" xfId="0" applyNumberFormat="1" applyFont="1" applyFill="1" applyBorder="1" applyAlignment="1" applyProtection="1">
      <alignment vertical="center"/>
      <protection locked="0"/>
    </xf>
    <xf numFmtId="171" fontId="5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2" borderId="29" xfId="0" applyNumberFormat="1" applyFont="1" applyFill="1" applyBorder="1" applyAlignment="1" applyProtection="1">
      <alignment horizontal="left" vertical="center"/>
      <protection locked="0"/>
    </xf>
    <xf numFmtId="0" fontId="3" fillId="2" borderId="31" xfId="0" applyNumberFormat="1" applyFont="1" applyFill="1" applyBorder="1" applyAlignment="1" applyProtection="1">
      <alignment horizontal="left" vertical="center"/>
      <protection locked="0"/>
    </xf>
    <xf numFmtId="0" fontId="3" fillId="2" borderId="78" xfId="0" applyNumberFormat="1" applyFont="1" applyFill="1" applyBorder="1" applyAlignment="1" applyProtection="1">
      <alignment horizontal="left" vertical="center"/>
      <protection locked="0"/>
    </xf>
    <xf numFmtId="165" fontId="15" fillId="14" borderId="108" xfId="0" applyNumberFormat="1" applyFont="1" applyFill="1" applyBorder="1" applyAlignment="1" applyProtection="1">
      <alignment horizontal="center" vertical="center"/>
    </xf>
    <xf numFmtId="165" fontId="15" fillId="14" borderId="109" xfId="0" applyNumberFormat="1" applyFont="1" applyFill="1" applyBorder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center" vertical="center" textRotation="90" wrapText="1"/>
    </xf>
    <xf numFmtId="3" fontId="7" fillId="0" borderId="112" xfId="0" applyNumberFormat="1" applyFont="1" applyFill="1" applyBorder="1" applyAlignment="1" applyProtection="1">
      <alignment horizontal="center" vertical="center" textRotation="90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12" xfId="0" applyBorder="1" applyAlignment="1" applyProtection="1">
      <alignment horizontal="center" vertical="center" wrapText="1"/>
    </xf>
    <xf numFmtId="4" fontId="7" fillId="7" borderId="132" xfId="0" applyNumberFormat="1" applyFont="1" applyFill="1" applyBorder="1" applyAlignment="1" applyProtection="1">
      <alignment horizontal="center" vertical="center" textRotation="90" wrapText="1"/>
    </xf>
    <xf numFmtId="0" fontId="0" fillId="7" borderId="128" xfId="0" applyFill="1" applyBorder="1" applyAlignment="1" applyProtection="1">
      <alignment horizontal="center" vertical="center" wrapText="1"/>
    </xf>
    <xf numFmtId="0" fontId="0" fillId="7" borderId="9" xfId="0" applyFill="1" applyBorder="1" applyAlignment="1" applyProtection="1">
      <alignment horizontal="center" vertical="center" wrapText="1"/>
    </xf>
    <xf numFmtId="4" fontId="7" fillId="7" borderId="4" xfId="0" applyNumberFormat="1" applyFont="1" applyFill="1" applyBorder="1" applyAlignment="1" applyProtection="1">
      <alignment horizontal="center" vertical="center" textRotation="90" wrapText="1"/>
    </xf>
    <xf numFmtId="0" fontId="0" fillId="7" borderId="112" xfId="0" applyFill="1" applyBorder="1" applyAlignment="1" applyProtection="1">
      <alignment horizontal="center" vertical="center" textRotation="90" wrapText="1"/>
    </xf>
  </cellXfs>
  <cellStyles count="3">
    <cellStyle name="dbkatalog" xfId="1"/>
    <cellStyle name="DB-Katalog" xfId="2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0</xdr:row>
      <xdr:rowOff>723900</xdr:rowOff>
    </xdr:to>
    <xdr:pic>
      <xdr:nvPicPr>
        <xdr:cNvPr id="1026" name="Picture 5" descr="Kantonswappen_n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542925</xdr:colOff>
      <xdr:row>0</xdr:row>
      <xdr:rowOff>542925</xdr:rowOff>
    </xdr:from>
    <xdr:to>
      <xdr:col>5</xdr:col>
      <xdr:colOff>762000</xdr:colOff>
      <xdr:row>1</xdr:row>
      <xdr:rowOff>114300</xdr:rowOff>
    </xdr:to>
    <xdr:sp macro="" textlink="">
      <xdr:nvSpPr>
        <xdr:cNvPr id="1027" name="Rechteck 12"/>
        <xdr:cNvSpPr>
          <a:spLocks noChangeArrowheads="1"/>
        </xdr:cNvSpPr>
      </xdr:nvSpPr>
      <xdr:spPr bwMode="auto">
        <a:xfrm>
          <a:off x="2447925" y="542925"/>
          <a:ext cx="219075" cy="295275"/>
        </a:xfrm>
        <a:prstGeom prst="rect">
          <a:avLst/>
        </a:prstGeom>
        <a:solidFill>
          <a:srgbClr val="FFFFFF"/>
        </a:solidFill>
        <a:ln w="9525" algn="ctr">
          <a:noFill/>
          <a:round/>
          <a:headEnd/>
          <a:tailEnd/>
        </a:ln>
      </xdr:spPr>
    </xdr:sp>
    <xdr:clientData/>
  </xdr:twoCellAnchor>
  <xdr:twoCellAnchor>
    <xdr:from>
      <xdr:col>10</xdr:col>
      <xdr:colOff>485775</xdr:colOff>
      <xdr:row>0</xdr:row>
      <xdr:rowOff>590550</xdr:rowOff>
    </xdr:from>
    <xdr:to>
      <xdr:col>10</xdr:col>
      <xdr:colOff>704850</xdr:colOff>
      <xdr:row>1</xdr:row>
      <xdr:rowOff>161925</xdr:rowOff>
    </xdr:to>
    <xdr:sp macro="" textlink="">
      <xdr:nvSpPr>
        <xdr:cNvPr id="1028" name="Rechteck 13"/>
        <xdr:cNvSpPr>
          <a:spLocks noChangeArrowheads="1"/>
        </xdr:cNvSpPr>
      </xdr:nvSpPr>
      <xdr:spPr bwMode="auto">
        <a:xfrm>
          <a:off x="4562475" y="590550"/>
          <a:ext cx="219075" cy="295275"/>
        </a:xfrm>
        <a:prstGeom prst="rect">
          <a:avLst/>
        </a:prstGeom>
        <a:solidFill>
          <a:srgbClr val="FFFFFF"/>
        </a:solidFill>
        <a:ln w="9525" algn="ctr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19050</xdr:colOff>
      <xdr:row>0</xdr:row>
      <xdr:rowOff>723900</xdr:rowOff>
    </xdr:to>
    <xdr:pic>
      <xdr:nvPicPr>
        <xdr:cNvPr id="2049" name="Picture 5" descr="Kantonswappen_n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0</xdr:row>
      <xdr:rowOff>723900</xdr:rowOff>
    </xdr:to>
    <xdr:pic>
      <xdr:nvPicPr>
        <xdr:cNvPr id="3073" name="Picture 5" descr="Kantonswappen_n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0</xdr:row>
      <xdr:rowOff>723900</xdr:rowOff>
    </xdr:to>
    <xdr:pic>
      <xdr:nvPicPr>
        <xdr:cNvPr id="4097" name="Picture 5" descr="Kantonswappen_n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O59"/>
  <sheetViews>
    <sheetView showGridLines="0" tabSelected="1" zoomScaleNormal="100" workbookViewId="0">
      <selection activeCell="N8" sqref="N8:O8"/>
    </sheetView>
  </sheetViews>
  <sheetFormatPr baseColWidth="10" defaultRowHeight="12.75"/>
  <cols>
    <col min="1" max="1" width="10.7109375" style="3" customWidth="1"/>
    <col min="2" max="2" width="2.7109375" style="3" customWidth="1"/>
    <col min="3" max="3" width="5.7109375" style="3" customWidth="1"/>
    <col min="4" max="4" width="3.7109375" style="3" customWidth="1"/>
    <col min="5" max="5" width="5.7109375" style="3" customWidth="1"/>
    <col min="6" max="6" width="11.7109375" style="3" customWidth="1"/>
    <col min="7" max="7" width="11.7109375" style="5" customWidth="1"/>
    <col min="8" max="8" width="1.7109375" style="5" customWidth="1"/>
    <col min="9" max="9" width="5.7109375" style="5" customWidth="1"/>
    <col min="10" max="10" width="1.7109375" style="139" customWidth="1"/>
    <col min="11" max="11" width="10.7109375" style="139" customWidth="1"/>
    <col min="12" max="14" width="11.7109375" style="139" customWidth="1"/>
    <col min="15" max="15" width="11.7109375" style="143" customWidth="1"/>
    <col min="16" max="16384" width="11.42578125" style="3"/>
  </cols>
  <sheetData>
    <row r="1" spans="1:15" s="28" customFormat="1" ht="57" customHeight="1">
      <c r="D1" s="104"/>
      <c r="E1" s="104"/>
      <c r="G1" s="105"/>
      <c r="H1" s="105"/>
      <c r="I1" s="105"/>
      <c r="J1" s="106"/>
      <c r="K1" s="106"/>
      <c r="L1" s="106"/>
      <c r="M1" s="106"/>
      <c r="N1" s="106"/>
      <c r="O1" s="107"/>
    </row>
    <row r="2" spans="1:15" s="109" customFormat="1" ht="33" customHeight="1">
      <c r="A2" s="714" t="s">
        <v>78</v>
      </c>
      <c r="B2" s="110"/>
      <c r="C2" s="741" t="s">
        <v>341</v>
      </c>
      <c r="D2" s="741"/>
      <c r="E2" s="741"/>
      <c r="F2" s="741"/>
      <c r="G2" s="742" t="s">
        <v>340</v>
      </c>
      <c r="H2" s="742"/>
      <c r="I2" s="742"/>
      <c r="J2" s="742"/>
      <c r="K2" s="742"/>
      <c r="L2" s="742" t="s">
        <v>367</v>
      </c>
      <c r="M2" s="742"/>
      <c r="N2" s="742"/>
      <c r="O2" s="716"/>
    </row>
    <row r="3" spans="1:15" s="109" customFormat="1" ht="7.5" customHeight="1">
      <c r="A3" s="110"/>
      <c r="B3" s="110"/>
      <c r="C3" s="108"/>
      <c r="D3" s="111"/>
      <c r="E3" s="111"/>
      <c r="F3" s="112"/>
      <c r="G3" s="113"/>
      <c r="H3" s="113"/>
      <c r="I3" s="113"/>
      <c r="J3" s="114"/>
      <c r="K3" s="114"/>
      <c r="L3" s="114"/>
      <c r="M3" s="114"/>
      <c r="N3" s="114"/>
      <c r="O3" s="115"/>
    </row>
    <row r="4" spans="1:15" s="117" customFormat="1" ht="28.5" customHeight="1">
      <c r="A4" s="116" t="s">
        <v>189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745" t="s">
        <v>368</v>
      </c>
      <c r="O4" s="745"/>
    </row>
    <row r="5" spans="1:15" s="123" customFormat="1" ht="7.5" customHeight="1">
      <c r="A5" s="118"/>
      <c r="B5" s="118"/>
      <c r="C5" s="119"/>
      <c r="D5" s="119"/>
      <c r="E5" s="119"/>
      <c r="F5" s="119"/>
      <c r="G5" s="120"/>
      <c r="H5" s="120"/>
      <c r="I5" s="120"/>
      <c r="J5" s="121"/>
      <c r="K5" s="121"/>
      <c r="L5" s="121"/>
      <c r="M5" s="121"/>
      <c r="N5" s="121"/>
      <c r="O5" s="122"/>
    </row>
    <row r="6" spans="1:15" ht="22.5" customHeight="1">
      <c r="A6" s="124" t="s">
        <v>99</v>
      </c>
      <c r="B6" s="124"/>
      <c r="C6" s="124"/>
      <c r="D6" s="125"/>
      <c r="E6" s="125"/>
      <c r="F6" s="125"/>
      <c r="G6" s="126"/>
      <c r="H6" s="126"/>
      <c r="I6" s="126"/>
      <c r="J6" s="127"/>
      <c r="K6" s="127"/>
      <c r="L6" s="127"/>
      <c r="M6" s="127"/>
      <c r="N6" s="127"/>
      <c r="O6" s="128"/>
    </row>
    <row r="7" spans="1:15" ht="10.5" customHeight="1">
      <c r="A7" s="129"/>
      <c r="B7" s="129"/>
      <c r="C7" s="129"/>
      <c r="D7" s="130"/>
      <c r="E7" s="131"/>
      <c r="F7" s="131"/>
      <c r="G7" s="132"/>
      <c r="H7" s="132"/>
      <c r="I7" s="132"/>
      <c r="J7" s="133"/>
      <c r="K7" s="133"/>
      <c r="L7" s="133"/>
      <c r="M7" s="133"/>
      <c r="N7" s="133"/>
      <c r="O7" s="134"/>
    </row>
    <row r="8" spans="1:15" ht="18" customHeight="1">
      <c r="A8" s="135" t="s">
        <v>29</v>
      </c>
      <c r="B8" s="135"/>
      <c r="C8" s="136"/>
      <c r="D8" s="749"/>
      <c r="E8" s="749"/>
      <c r="F8" s="749"/>
      <c r="G8" s="749"/>
      <c r="H8" s="749"/>
      <c r="I8" s="749"/>
      <c r="J8" s="137"/>
      <c r="K8" s="138" t="s">
        <v>98</v>
      </c>
      <c r="M8" s="140"/>
      <c r="N8" s="750" t="s">
        <v>93</v>
      </c>
      <c r="O8" s="750"/>
    </row>
    <row r="9" spans="1:15" ht="18" customHeight="1">
      <c r="A9" s="135" t="s">
        <v>30</v>
      </c>
      <c r="B9" s="135"/>
      <c r="C9" s="136"/>
      <c r="D9" s="743"/>
      <c r="E9" s="743"/>
      <c r="F9" s="743"/>
      <c r="G9" s="743"/>
      <c r="H9" s="743"/>
      <c r="I9" s="743"/>
      <c r="J9" s="137"/>
      <c r="K9" s="141" t="s">
        <v>101</v>
      </c>
      <c r="N9" s="748"/>
      <c r="O9" s="748"/>
    </row>
    <row r="10" spans="1:15" ht="18" customHeight="1">
      <c r="A10" s="135" t="s">
        <v>233</v>
      </c>
      <c r="B10" s="135"/>
      <c r="C10" s="136"/>
      <c r="D10" s="743"/>
      <c r="E10" s="743"/>
      <c r="F10" s="743"/>
      <c r="G10" s="743"/>
      <c r="H10" s="743"/>
      <c r="I10" s="743"/>
      <c r="J10" s="137"/>
      <c r="K10" s="141" t="s">
        <v>74</v>
      </c>
      <c r="M10" s="142"/>
      <c r="N10" s="748" t="s">
        <v>321</v>
      </c>
      <c r="O10" s="748"/>
    </row>
    <row r="11" spans="1:15" ht="18" customHeight="1">
      <c r="A11" s="135" t="s">
        <v>31</v>
      </c>
      <c r="B11" s="135"/>
      <c r="C11" s="136"/>
      <c r="D11" s="753"/>
      <c r="E11" s="753"/>
      <c r="F11" s="753"/>
      <c r="G11" s="753"/>
      <c r="H11" s="753"/>
      <c r="I11" s="753"/>
      <c r="J11" s="137"/>
      <c r="K11" s="141" t="s">
        <v>271</v>
      </c>
      <c r="L11" s="142"/>
      <c r="M11" s="748" t="s">
        <v>322</v>
      </c>
      <c r="N11" s="752"/>
      <c r="O11" s="103"/>
    </row>
    <row r="12" spans="1:15" ht="18" customHeight="1">
      <c r="A12" s="135" t="s">
        <v>100</v>
      </c>
      <c r="B12" s="135"/>
      <c r="C12" s="136"/>
      <c r="D12" s="753"/>
      <c r="E12" s="753"/>
      <c r="F12" s="753"/>
      <c r="G12" s="753"/>
      <c r="H12" s="753"/>
      <c r="I12" s="753"/>
      <c r="J12" s="137"/>
      <c r="K12" s="141"/>
    </row>
    <row r="13" spans="1:15" ht="18" customHeight="1">
      <c r="A13" s="135" t="s">
        <v>103</v>
      </c>
      <c r="B13" s="135"/>
      <c r="C13" s="136"/>
      <c r="D13" s="754"/>
      <c r="E13" s="754"/>
      <c r="F13" s="754"/>
      <c r="G13" s="754"/>
      <c r="H13" s="754"/>
      <c r="I13" s="754"/>
      <c r="J13" s="137"/>
      <c r="K13" s="141" t="s">
        <v>235</v>
      </c>
      <c r="M13" s="747"/>
      <c r="N13" s="747"/>
      <c r="O13" s="747"/>
    </row>
    <row r="14" spans="1:15" ht="9" customHeight="1">
      <c r="A14" s="136"/>
      <c r="B14" s="136"/>
      <c r="C14" s="136"/>
      <c r="D14" s="144"/>
      <c r="E14" s="144"/>
      <c r="F14" s="136"/>
      <c r="G14" s="145"/>
      <c r="H14" s="145"/>
      <c r="I14" s="145"/>
      <c r="J14" s="137"/>
      <c r="L14" s="142"/>
      <c r="M14" s="142"/>
      <c r="N14" s="142"/>
      <c r="O14" s="146"/>
    </row>
    <row r="15" spans="1:15" ht="18" customHeight="1">
      <c r="A15" s="135" t="s">
        <v>32</v>
      </c>
      <c r="B15" s="135"/>
      <c r="C15" s="13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</row>
    <row r="16" spans="1:15" s="147" customFormat="1" ht="18" customHeight="1">
      <c r="A16" s="135" t="s">
        <v>234</v>
      </c>
      <c r="B16" s="135"/>
      <c r="C16" s="136"/>
      <c r="D16" s="744" t="s">
        <v>366</v>
      </c>
      <c r="E16" s="744"/>
      <c r="F16" s="744"/>
      <c r="G16" s="744"/>
      <c r="H16" s="744"/>
      <c r="I16" s="744"/>
      <c r="J16" s="744"/>
      <c r="K16" s="744"/>
      <c r="L16" s="744"/>
      <c r="M16" s="744"/>
      <c r="N16" s="744"/>
      <c r="O16" s="744"/>
    </row>
    <row r="17" spans="1:15" s="147" customFormat="1" ht="22.5" customHeight="1">
      <c r="A17" s="136"/>
      <c r="B17" s="136"/>
      <c r="C17" s="136"/>
      <c r="D17" s="148"/>
      <c r="E17" s="149"/>
      <c r="F17" s="150"/>
      <c r="G17" s="151"/>
      <c r="H17" s="151"/>
      <c r="I17" s="151"/>
      <c r="J17" s="137"/>
      <c r="K17" s="152"/>
      <c r="L17" s="153"/>
      <c r="M17" s="154"/>
      <c r="N17" s="154"/>
      <c r="O17" s="155"/>
    </row>
    <row r="18" spans="1:15" s="147" customFormat="1" ht="21" customHeight="1">
      <c r="A18" s="124" t="s">
        <v>159</v>
      </c>
      <c r="B18" s="124"/>
      <c r="C18" s="124"/>
      <c r="D18" s="124"/>
      <c r="E18" s="124"/>
      <c r="F18" s="125"/>
      <c r="G18" s="125"/>
      <c r="H18" s="125"/>
      <c r="I18" s="125"/>
      <c r="J18" s="127"/>
      <c r="K18" s="125"/>
      <c r="L18" s="125"/>
      <c r="M18" s="125"/>
      <c r="N18" s="125"/>
      <c r="O18" s="125"/>
    </row>
    <row r="19" spans="1:15" ht="6" customHeight="1" thickBot="1">
      <c r="G19" s="3"/>
      <c r="H19" s="3"/>
      <c r="I19" s="3"/>
      <c r="J19" s="3"/>
      <c r="K19" s="3"/>
      <c r="L19" s="3"/>
      <c r="M19" s="3"/>
      <c r="N19" s="3"/>
      <c r="O19" s="3"/>
    </row>
    <row r="20" spans="1:15" s="147" customFormat="1" ht="16.5" customHeight="1">
      <c r="A20" s="262" t="s">
        <v>176</v>
      </c>
      <c r="B20" s="572"/>
      <c r="C20" s="156"/>
      <c r="D20" s="157"/>
      <c r="E20" s="156"/>
      <c r="F20" s="157"/>
      <c r="G20" s="158"/>
      <c r="H20" s="158"/>
      <c r="I20" s="158"/>
      <c r="J20" s="157"/>
      <c r="K20" s="158"/>
      <c r="L20" s="159"/>
      <c r="M20" s="159"/>
      <c r="N20" s="755" t="s">
        <v>285</v>
      </c>
      <c r="O20" s="756"/>
    </row>
    <row r="21" spans="1:15" s="147" customFormat="1" ht="16.5" customHeight="1" thickBot="1">
      <c r="A21" s="160"/>
      <c r="B21" s="161"/>
      <c r="C21" s="161"/>
      <c r="D21" s="162"/>
      <c r="E21" s="161"/>
      <c r="F21" s="162"/>
      <c r="G21" s="163"/>
      <c r="H21" s="163"/>
      <c r="I21" s="163"/>
      <c r="J21" s="162"/>
      <c r="K21" s="162"/>
      <c r="L21" s="9" t="s">
        <v>71</v>
      </c>
      <c r="M21" s="162"/>
      <c r="N21" s="164" t="s">
        <v>238</v>
      </c>
      <c r="O21" s="165" t="s">
        <v>134</v>
      </c>
    </row>
    <row r="22" spans="1:15" s="169" customFormat="1" ht="18" customHeight="1">
      <c r="A22" s="166" t="s">
        <v>177</v>
      </c>
      <c r="B22" s="710"/>
      <c r="C22" s="167"/>
      <c r="D22" s="167"/>
      <c r="E22" s="168"/>
      <c r="F22" s="167"/>
      <c r="G22" s="168"/>
      <c r="H22" s="168"/>
      <c r="I22" s="168"/>
      <c r="J22" s="167"/>
      <c r="K22" s="168"/>
      <c r="L22" s="170">
        <f>Tierbestand!J21</f>
        <v>0</v>
      </c>
      <c r="M22" s="263"/>
      <c r="N22" s="171">
        <f>Tierbestand!R21</f>
        <v>0</v>
      </c>
      <c r="O22" s="172">
        <f>Tierbestand!S21</f>
        <v>0</v>
      </c>
    </row>
    <row r="23" spans="1:15" s="169" customFormat="1" ht="18" customHeight="1">
      <c r="A23" s="173" t="s">
        <v>178</v>
      </c>
      <c r="B23" s="711"/>
      <c r="C23" s="174"/>
      <c r="D23" s="174"/>
      <c r="E23" s="175"/>
      <c r="F23" s="174"/>
      <c r="G23" s="175"/>
      <c r="H23" s="175"/>
      <c r="I23" s="175"/>
      <c r="J23" s="174"/>
      <c r="K23" s="175"/>
      <c r="L23" s="176">
        <f>Tierbestand!J31</f>
        <v>0</v>
      </c>
      <c r="M23" s="264"/>
      <c r="N23" s="177">
        <f>Tierbestand!R31</f>
        <v>0</v>
      </c>
      <c r="O23" s="178">
        <f>Tierbestand!S31</f>
        <v>0</v>
      </c>
    </row>
    <row r="24" spans="1:15" s="169" customFormat="1" ht="18" customHeight="1">
      <c r="A24" s="173" t="s">
        <v>179</v>
      </c>
      <c r="B24" s="711"/>
      <c r="C24" s="174"/>
      <c r="D24" s="174"/>
      <c r="E24" s="175"/>
      <c r="F24" s="174"/>
      <c r="G24" s="175"/>
      <c r="H24" s="175"/>
      <c r="I24" s="175"/>
      <c r="J24" s="174"/>
      <c r="K24" s="175"/>
      <c r="L24" s="176">
        <f>Tierbestand!J53</f>
        <v>0</v>
      </c>
      <c r="M24" s="264"/>
      <c r="N24" s="177">
        <f>Tierbestand!R53</f>
        <v>0</v>
      </c>
      <c r="O24" s="178">
        <f>Tierbestand!S53</f>
        <v>0</v>
      </c>
    </row>
    <row r="25" spans="1:15" s="169" customFormat="1" ht="18" customHeight="1">
      <c r="A25" s="173" t="s">
        <v>173</v>
      </c>
      <c r="B25" s="711"/>
      <c r="C25" s="174"/>
      <c r="D25" s="174"/>
      <c r="E25" s="175"/>
      <c r="F25" s="174"/>
      <c r="G25" s="175"/>
      <c r="H25" s="175"/>
      <c r="I25" s="175"/>
      <c r="J25" s="174"/>
      <c r="K25" s="175"/>
      <c r="L25" s="176">
        <f>Tierbestand!J63</f>
        <v>0</v>
      </c>
      <c r="M25" s="264"/>
      <c r="N25" s="177">
        <f>Tierbestand!R63</f>
        <v>0</v>
      </c>
      <c r="O25" s="178">
        <f>Tierbestand!S63</f>
        <v>0</v>
      </c>
    </row>
    <row r="26" spans="1:15" s="169" customFormat="1" ht="18" customHeight="1">
      <c r="A26" s="173" t="s">
        <v>147</v>
      </c>
      <c r="B26" s="711"/>
      <c r="C26" s="174"/>
      <c r="D26" s="174"/>
      <c r="E26" s="175"/>
      <c r="F26" s="174"/>
      <c r="G26" s="175"/>
      <c r="H26" s="175"/>
      <c r="I26" s="175"/>
      <c r="J26" s="174"/>
      <c r="K26" s="175"/>
      <c r="L26" s="176">
        <f>Tierbestand!J75</f>
        <v>0</v>
      </c>
      <c r="M26" s="264"/>
      <c r="N26" s="177">
        <f>Tierbestand!R75</f>
        <v>0</v>
      </c>
      <c r="O26" s="178">
        <f>Tierbestand!S75</f>
        <v>0</v>
      </c>
    </row>
    <row r="27" spans="1:15" s="169" customFormat="1" ht="18" customHeight="1">
      <c r="A27" s="173" t="s">
        <v>174</v>
      </c>
      <c r="B27" s="711"/>
      <c r="C27" s="174"/>
      <c r="D27" s="174"/>
      <c r="E27" s="175"/>
      <c r="F27" s="174"/>
      <c r="G27" s="175"/>
      <c r="H27" s="175"/>
      <c r="I27" s="175"/>
      <c r="J27" s="174"/>
      <c r="K27" s="175"/>
      <c r="L27" s="176">
        <f>Tierbestand!J89</f>
        <v>0</v>
      </c>
      <c r="M27" s="264"/>
      <c r="N27" s="177">
        <f>Tierbestand!R89</f>
        <v>0</v>
      </c>
      <c r="O27" s="178">
        <f>Tierbestand!S89</f>
        <v>0</v>
      </c>
    </row>
    <row r="28" spans="1:15" s="169" customFormat="1" ht="18" customHeight="1">
      <c r="A28" s="173" t="s">
        <v>13</v>
      </c>
      <c r="B28" s="711"/>
      <c r="C28" s="174"/>
      <c r="D28" s="174"/>
      <c r="E28" s="175"/>
      <c r="F28" s="174"/>
      <c r="G28" s="175"/>
      <c r="H28" s="175"/>
      <c r="I28" s="175"/>
      <c r="J28" s="174"/>
      <c r="K28" s="175"/>
      <c r="L28" s="176">
        <f>Tierbestand!J107</f>
        <v>0</v>
      </c>
      <c r="M28" s="264"/>
      <c r="N28" s="177">
        <f>Tierbestand!R107</f>
        <v>0</v>
      </c>
      <c r="O28" s="178">
        <f>Tierbestand!S107</f>
        <v>0</v>
      </c>
    </row>
    <row r="29" spans="1:15" s="169" customFormat="1" ht="18" customHeight="1" thickBot="1">
      <c r="A29" s="173" t="s">
        <v>14</v>
      </c>
      <c r="B29" s="711"/>
      <c r="C29" s="174"/>
      <c r="D29" s="174"/>
      <c r="E29" s="175"/>
      <c r="F29" s="174"/>
      <c r="G29" s="175"/>
      <c r="H29" s="175"/>
      <c r="I29" s="175"/>
      <c r="J29" s="174"/>
      <c r="K29" s="175"/>
      <c r="L29" s="176">
        <f>Tierbestand!J123</f>
        <v>0</v>
      </c>
      <c r="M29" s="264"/>
      <c r="N29" s="177">
        <f>Tierbestand!R123</f>
        <v>0</v>
      </c>
      <c r="O29" s="178">
        <f>Tierbestand!S123</f>
        <v>0</v>
      </c>
    </row>
    <row r="30" spans="1:15" s="183" customFormat="1" ht="22.5" customHeight="1" thickBot="1">
      <c r="A30" s="179" t="s">
        <v>335</v>
      </c>
      <c r="B30" s="180"/>
      <c r="C30" s="180"/>
      <c r="D30" s="181"/>
      <c r="E30" s="181"/>
      <c r="F30" s="181"/>
      <c r="G30" s="182"/>
      <c r="H30" s="182"/>
      <c r="I30" s="182"/>
      <c r="J30" s="181"/>
      <c r="K30" s="181"/>
      <c r="L30" s="184">
        <f>SUM(L22:L29)</f>
        <v>0</v>
      </c>
      <c r="M30" s="265"/>
      <c r="N30" s="185">
        <f>SUM(N22:N29)</f>
        <v>0</v>
      </c>
      <c r="O30" s="186">
        <f>SUM(O22:O29)</f>
        <v>0</v>
      </c>
    </row>
    <row r="31" spans="1:15" s="147" customFormat="1" ht="18" customHeight="1">
      <c r="A31" s="136"/>
      <c r="B31" s="136"/>
      <c r="C31" s="136"/>
      <c r="D31" s="148"/>
      <c r="E31" s="149"/>
      <c r="F31" s="150"/>
      <c r="G31" s="151"/>
      <c r="H31" s="151"/>
      <c r="I31" s="151"/>
      <c r="J31" s="137"/>
      <c r="K31" s="153"/>
      <c r="L31" s="153"/>
      <c r="M31" s="153"/>
      <c r="N31" s="153"/>
      <c r="O31" s="187"/>
    </row>
    <row r="32" spans="1:15" s="147" customFormat="1" ht="21" customHeight="1">
      <c r="A32" s="124" t="s">
        <v>175</v>
      </c>
      <c r="B32" s="124"/>
      <c r="C32" s="124"/>
      <c r="D32" s="124"/>
      <c r="E32" s="124"/>
      <c r="F32" s="125"/>
      <c r="G32" s="125"/>
      <c r="H32" s="125"/>
      <c r="I32" s="125"/>
      <c r="J32" s="127"/>
      <c r="K32" s="125"/>
      <c r="L32" s="125"/>
      <c r="M32" s="125"/>
      <c r="N32" s="125"/>
      <c r="O32" s="125"/>
    </row>
    <row r="33" spans="1:15" s="147" customFormat="1" ht="6" customHeight="1" thickBot="1">
      <c r="A33" s="136"/>
      <c r="B33" s="136"/>
      <c r="C33" s="136"/>
      <c r="D33" s="148"/>
      <c r="E33" s="149"/>
      <c r="F33" s="150"/>
      <c r="G33" s="151"/>
      <c r="H33" s="151"/>
      <c r="I33" s="151"/>
      <c r="J33" s="188"/>
      <c r="K33" s="153"/>
      <c r="L33" s="153"/>
      <c r="M33" s="153"/>
      <c r="N33" s="153"/>
      <c r="O33" s="187"/>
    </row>
    <row r="34" spans="1:15" s="196" customFormat="1" ht="18" customHeight="1">
      <c r="A34" s="189" t="s">
        <v>119</v>
      </c>
      <c r="B34" s="712"/>
      <c r="C34" s="190"/>
      <c r="D34" s="191"/>
      <c r="E34" s="192"/>
      <c r="F34" s="193"/>
      <c r="G34" s="194"/>
      <c r="H34" s="194"/>
      <c r="I34" s="194"/>
      <c r="J34" s="195"/>
      <c r="K34" s="157"/>
      <c r="L34" s="195"/>
      <c r="M34" s="197"/>
      <c r="N34" s="198">
        <f>Abwasseranfall!O33</f>
        <v>0</v>
      </c>
      <c r="O34" s="199"/>
    </row>
    <row r="35" spans="1:15" s="196" customFormat="1" ht="18" customHeight="1" thickBot="1">
      <c r="A35" s="200" t="s">
        <v>120</v>
      </c>
      <c r="B35" s="713"/>
      <c r="C35" s="201"/>
      <c r="D35" s="202"/>
      <c r="E35" s="203"/>
      <c r="F35" s="204"/>
      <c r="H35" s="205"/>
      <c r="I35" s="205"/>
      <c r="J35" s="206"/>
      <c r="K35" s="205" t="s">
        <v>242</v>
      </c>
      <c r="L35" s="207">
        <f>Abwasseranfall!M36+Abwasseranfall!M37+Abwasseranfall!M38</f>
        <v>0</v>
      </c>
      <c r="M35" s="208">
        <f>SUM(N34:N35)</f>
        <v>0</v>
      </c>
      <c r="N35" s="209">
        <f>Abwasseranfall!O44</f>
        <v>0</v>
      </c>
      <c r="O35" s="210">
        <f>Abwasseranfall!O46</f>
        <v>0</v>
      </c>
    </row>
    <row r="36" spans="1:15" s="196" customFormat="1" ht="22.5" customHeight="1" thickBot="1">
      <c r="A36" s="179" t="s">
        <v>337</v>
      </c>
      <c r="B36" s="180"/>
      <c r="C36" s="211"/>
      <c r="D36" s="212"/>
      <c r="E36" s="213"/>
      <c r="F36" s="214"/>
      <c r="G36" s="215"/>
      <c r="H36" s="215"/>
      <c r="I36" s="215"/>
      <c r="J36" s="216"/>
      <c r="K36" s="216"/>
      <c r="L36" s="216"/>
      <c r="M36" s="217"/>
      <c r="N36" s="218">
        <f>SUM(N34:N35)</f>
        <v>0</v>
      </c>
      <c r="O36" s="219"/>
    </row>
    <row r="37" spans="1:15" s="196" customFormat="1" ht="18" customHeight="1" thickBot="1">
      <c r="A37" s="224"/>
      <c r="B37" s="224"/>
      <c r="C37" s="697"/>
      <c r="D37" s="698"/>
      <c r="E37" s="699"/>
      <c r="F37" s="700"/>
      <c r="G37" s="701"/>
      <c r="H37" s="701"/>
      <c r="I37" s="701"/>
      <c r="J37" s="157"/>
      <c r="K37" s="157"/>
      <c r="L37" s="157"/>
      <c r="M37" s="216"/>
      <c r="N37" s="695"/>
      <c r="O37" s="216"/>
    </row>
    <row r="38" spans="1:15" s="221" customFormat="1" ht="22.5" customHeight="1" thickBot="1">
      <c r="A38" s="708" t="s">
        <v>336</v>
      </c>
      <c r="B38" s="708"/>
      <c r="C38" s="702"/>
      <c r="D38" s="703"/>
      <c r="E38" s="704"/>
      <c r="F38" s="702"/>
      <c r="G38" s="705"/>
      <c r="H38" s="705"/>
      <c r="I38" s="705"/>
      <c r="J38" s="706"/>
      <c r="K38" s="706"/>
      <c r="L38" s="707"/>
      <c r="M38" s="696"/>
      <c r="N38" s="218">
        <f>ROUND(N30+N36,1)</f>
        <v>0</v>
      </c>
      <c r="O38" s="222">
        <f>Abwasseranfall!O48</f>
        <v>0</v>
      </c>
    </row>
    <row r="39" spans="1:15" s="147" customFormat="1" ht="27" customHeight="1">
      <c r="A39" s="136"/>
      <c r="B39" s="136"/>
      <c r="C39" s="136"/>
      <c r="D39" s="148"/>
      <c r="E39" s="149"/>
      <c r="F39" s="150"/>
      <c r="G39" s="151"/>
      <c r="H39" s="151"/>
      <c r="I39" s="151"/>
      <c r="J39" s="137"/>
      <c r="K39" s="153"/>
      <c r="L39" s="153"/>
      <c r="M39" s="153"/>
      <c r="N39" s="153"/>
      <c r="O39" s="187"/>
    </row>
    <row r="40" spans="1:15" s="147" customFormat="1" ht="21" customHeight="1">
      <c r="A40" s="124" t="s">
        <v>77</v>
      </c>
      <c r="B40" s="124"/>
      <c r="C40" s="124"/>
      <c r="D40" s="124"/>
      <c r="E40" s="124"/>
      <c r="F40" s="125"/>
      <c r="G40" s="125"/>
      <c r="H40" s="125"/>
      <c r="I40" s="124" t="s">
        <v>76</v>
      </c>
      <c r="J40" s="127"/>
      <c r="K40" s="125"/>
      <c r="L40" s="125"/>
      <c r="M40" s="125"/>
      <c r="N40" s="125"/>
      <c r="O40" s="125"/>
    </row>
    <row r="41" spans="1:15" s="147" customFormat="1" ht="6" customHeight="1" thickBot="1">
      <c r="A41" s="136"/>
      <c r="B41" s="136"/>
      <c r="C41" s="136"/>
      <c r="D41" s="148"/>
      <c r="E41" s="149"/>
      <c r="F41" s="150"/>
      <c r="G41" s="151"/>
      <c r="H41" s="151"/>
      <c r="I41" s="153"/>
      <c r="J41" s="137"/>
      <c r="K41" s="153"/>
      <c r="L41" s="153"/>
      <c r="M41" s="153"/>
      <c r="N41" s="153"/>
      <c r="O41" s="187"/>
    </row>
    <row r="42" spans="1:15" s="169" customFormat="1" ht="18" customHeight="1">
      <c r="A42" s="223" t="s">
        <v>237</v>
      </c>
      <c r="B42" s="224"/>
      <c r="C42" s="224"/>
      <c r="D42" s="225"/>
      <c r="E42" s="226"/>
      <c r="F42" s="225"/>
      <c r="G42" s="227">
        <f>N30+O35</f>
        <v>0</v>
      </c>
      <c r="H42" s="228"/>
      <c r="I42" s="224" t="s">
        <v>191</v>
      </c>
      <c r="J42" s="229"/>
      <c r="K42" s="225"/>
      <c r="L42" s="225"/>
      <c r="M42" s="227">
        <f>Güllegruben_Mistplatz!Q9</f>
        <v>0</v>
      </c>
      <c r="N42" s="230"/>
      <c r="O42" s="266"/>
    </row>
    <row r="43" spans="1:15" s="169" customFormat="1" ht="18" customHeight="1">
      <c r="A43" s="231" t="s">
        <v>236</v>
      </c>
      <c r="B43" s="135"/>
      <c r="C43" s="135"/>
      <c r="D43" s="232"/>
      <c r="E43" s="233"/>
      <c r="F43" s="232"/>
      <c r="G43" s="234" t="str">
        <f>IF(N30=0,"Kein HD",O35/N30)</f>
        <v>Kein HD</v>
      </c>
      <c r="H43" s="86"/>
      <c r="I43" s="135" t="s">
        <v>195</v>
      </c>
      <c r="J43" s="131"/>
      <c r="K43" s="232"/>
      <c r="L43" s="232"/>
      <c r="M43" s="235">
        <f>Güllegruben_Mistplatz!Q10</f>
        <v>800</v>
      </c>
      <c r="N43" s="236"/>
      <c r="O43" s="267"/>
    </row>
    <row r="44" spans="1:15" s="169" customFormat="1" ht="6" customHeight="1">
      <c r="A44" s="231"/>
      <c r="B44" s="135"/>
      <c r="C44" s="135"/>
      <c r="D44" s="232"/>
      <c r="E44" s="233"/>
      <c r="F44" s="232"/>
      <c r="G44" s="86"/>
      <c r="H44" s="86"/>
      <c r="I44" s="135"/>
      <c r="J44" s="131"/>
      <c r="K44" s="232"/>
      <c r="L44" s="232"/>
      <c r="M44" s="245"/>
      <c r="N44" s="236"/>
      <c r="O44" s="267"/>
    </row>
    <row r="45" spans="1:15" s="692" customFormat="1" ht="13.5" customHeight="1">
      <c r="A45" s="683"/>
      <c r="B45" s="684"/>
      <c r="C45" s="684"/>
      <c r="D45" s="685"/>
      <c r="E45" s="686"/>
      <c r="F45" s="687"/>
      <c r="G45" s="688" t="s">
        <v>331</v>
      </c>
      <c r="H45" s="689"/>
      <c r="I45" s="690"/>
      <c r="J45" s="691"/>
      <c r="K45" s="685"/>
      <c r="L45" s="685"/>
      <c r="M45" s="693" t="s">
        <v>331</v>
      </c>
      <c r="N45" s="693" t="s">
        <v>282</v>
      </c>
      <c r="O45" s="694" t="s">
        <v>332</v>
      </c>
    </row>
    <row r="46" spans="1:15" s="169" customFormat="1" ht="18" customHeight="1">
      <c r="A46" s="231" t="s">
        <v>192</v>
      </c>
      <c r="B46" s="135"/>
      <c r="C46" s="135"/>
      <c r="D46" s="232"/>
      <c r="E46" s="233"/>
      <c r="F46" s="239" t="s">
        <v>170</v>
      </c>
      <c r="G46" s="240" t="s">
        <v>272</v>
      </c>
      <c r="H46" s="86"/>
      <c r="I46" s="135" t="s">
        <v>192</v>
      </c>
      <c r="J46" s="131"/>
      <c r="K46" s="232"/>
      <c r="L46" s="239" t="s">
        <v>170</v>
      </c>
      <c r="M46" s="240" t="s">
        <v>272</v>
      </c>
      <c r="N46" s="241" t="s">
        <v>283</v>
      </c>
      <c r="O46" s="242" t="s">
        <v>232</v>
      </c>
    </row>
    <row r="47" spans="1:15" s="169" customFormat="1" ht="18" customHeight="1">
      <c r="A47" s="231" t="s">
        <v>193</v>
      </c>
      <c r="B47" s="135"/>
      <c r="C47" s="135"/>
      <c r="D47" s="232"/>
      <c r="E47" s="233"/>
      <c r="F47" s="243">
        <f>Güllegruben_Mistplatz!R40</f>
        <v>0</v>
      </c>
      <c r="G47" s="244">
        <f>Güllegruben_Mistplatz!Q40</f>
        <v>0</v>
      </c>
      <c r="H47" s="245"/>
      <c r="I47" s="135" t="s">
        <v>193</v>
      </c>
      <c r="J47" s="131"/>
      <c r="K47" s="232"/>
      <c r="L47" s="243">
        <f>Güllegruben_Mistplatz!Q11</f>
        <v>6</v>
      </c>
      <c r="M47" s="244">
        <f>Güllegruben_Mistplatz!Q12</f>
        <v>0</v>
      </c>
      <c r="N47" s="246">
        <f>Güllegruben_Mistplatz!L26</f>
        <v>1.5</v>
      </c>
      <c r="O47" s="247">
        <f>Güllegruben_Mistplatz!P26</f>
        <v>0</v>
      </c>
    </row>
    <row r="48" spans="1:15" s="169" customFormat="1" ht="18" customHeight="1">
      <c r="A48" s="231" t="s">
        <v>194</v>
      </c>
      <c r="B48" s="135"/>
      <c r="C48" s="135"/>
      <c r="D48" s="232"/>
      <c r="E48" s="233"/>
      <c r="F48" s="248">
        <f>IF(G48=0,,G48/(G47/F47))</f>
        <v>0</v>
      </c>
      <c r="G48" s="235">
        <f>Güllegruben_Mistplatz!Q57</f>
        <v>0</v>
      </c>
      <c r="H48" s="245"/>
      <c r="I48" s="135" t="s">
        <v>194</v>
      </c>
      <c r="J48" s="131"/>
      <c r="K48" s="232"/>
      <c r="L48" s="248">
        <f>IF(O48=0,,O48/(O47/L47))</f>
        <v>0</v>
      </c>
      <c r="M48" s="235">
        <f>Güllegruben_Mistplatz!Q26</f>
        <v>0</v>
      </c>
      <c r="N48" s="249">
        <f>Güllegruben_Mistplatz!L26</f>
        <v>1.5</v>
      </c>
      <c r="O48" s="250">
        <f>Güllegruben_Mistplatz!R26</f>
        <v>0</v>
      </c>
    </row>
    <row r="49" spans="1:15" s="169" customFormat="1" ht="18" customHeight="1">
      <c r="A49" s="231" t="str">
        <f>Güllegruben_Mistplatz!M60</f>
        <v>Manko</v>
      </c>
      <c r="B49" s="135"/>
      <c r="C49" s="135"/>
      <c r="D49" s="232"/>
      <c r="E49" s="233"/>
      <c r="F49" s="248">
        <f>Güllegruben_Mistplatz!Q61</f>
        <v>0</v>
      </c>
      <c r="G49" s="235">
        <f>Güllegruben_Mistplatz!Q60</f>
        <v>0</v>
      </c>
      <c r="H49" s="245"/>
      <c r="I49" s="135" t="str">
        <f>Güllegruben_Mistplatz!M29</f>
        <v>Manko</v>
      </c>
      <c r="J49" s="131"/>
      <c r="K49" s="232"/>
      <c r="L49" s="248">
        <f>Güllegruben_Mistplatz!Q30</f>
        <v>0</v>
      </c>
      <c r="M49" s="235">
        <f>Güllegruben_Mistplatz!Q29</f>
        <v>0</v>
      </c>
      <c r="N49" s="249">
        <f>IF(M49=0,,M49/O49)</f>
        <v>0</v>
      </c>
      <c r="O49" s="250">
        <f>Güllegruben_Mistplatz!R29</f>
        <v>0</v>
      </c>
    </row>
    <row r="50" spans="1:15" s="169" customFormat="1" ht="18" customHeight="1" thickBot="1">
      <c r="A50" s="251" t="str">
        <f>A49</f>
        <v>Manko</v>
      </c>
      <c r="B50" s="252"/>
      <c r="C50" s="252"/>
      <c r="D50" s="253"/>
      <c r="E50" s="254"/>
      <c r="F50" s="255"/>
      <c r="G50" s="256">
        <f>IF(G49=0,,G49/G47%)</f>
        <v>0</v>
      </c>
      <c r="H50" s="257"/>
      <c r="I50" s="252" t="str">
        <f>I49</f>
        <v>Manko</v>
      </c>
      <c r="J50" s="258"/>
      <c r="K50" s="253"/>
      <c r="L50" s="259"/>
      <c r="M50" s="252"/>
      <c r="N50" s="252"/>
      <c r="O50" s="260">
        <f>IF(O49=0,,O49/(M47/N49)%)</f>
        <v>0</v>
      </c>
    </row>
    <row r="51" spans="1:15" s="147" customFormat="1" ht="9" customHeight="1">
      <c r="A51" s="136"/>
      <c r="B51" s="136"/>
      <c r="C51" s="136"/>
      <c r="D51" s="148"/>
      <c r="E51" s="149"/>
      <c r="F51" s="150"/>
      <c r="G51" s="151"/>
      <c r="H51" s="151"/>
      <c r="I51" s="151"/>
      <c r="J51" s="137"/>
      <c r="K51" s="153"/>
      <c r="L51" s="153"/>
      <c r="M51" s="153"/>
      <c r="N51" s="153"/>
      <c r="O51" s="187"/>
    </row>
    <row r="52" spans="1:15" ht="17.25" customHeight="1">
      <c r="A52" s="261" t="s">
        <v>102</v>
      </c>
      <c r="B52" s="261"/>
    </row>
    <row r="53" spans="1:15" ht="17.25" customHeight="1">
      <c r="A53" s="751"/>
      <c r="B53" s="751"/>
      <c r="C53" s="751"/>
      <c r="D53" s="751"/>
      <c r="E53" s="751"/>
      <c r="F53" s="751"/>
      <c r="G53" s="751"/>
      <c r="H53" s="751"/>
      <c r="I53" s="751"/>
      <c r="J53" s="751"/>
      <c r="K53" s="751"/>
      <c r="L53" s="751"/>
      <c r="M53" s="751"/>
      <c r="N53" s="751"/>
      <c r="O53" s="751"/>
    </row>
    <row r="54" spans="1:15" ht="17.25" customHeight="1">
      <c r="A54" s="751"/>
      <c r="B54" s="751"/>
      <c r="C54" s="751"/>
      <c r="D54" s="751"/>
      <c r="E54" s="751"/>
      <c r="F54" s="751"/>
      <c r="G54" s="751"/>
      <c r="H54" s="751"/>
      <c r="I54" s="751"/>
      <c r="J54" s="751"/>
      <c r="K54" s="751"/>
      <c r="L54" s="751"/>
      <c r="M54" s="751"/>
      <c r="N54" s="751"/>
      <c r="O54" s="751"/>
    </row>
    <row r="55" spans="1:15" ht="17.25" customHeight="1">
      <c r="A55" s="751"/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</row>
    <row r="56" spans="1:15" ht="17.25" customHeight="1">
      <c r="A56" s="751"/>
      <c r="B56" s="751"/>
      <c r="C56" s="751"/>
      <c r="D56" s="751"/>
      <c r="E56" s="751"/>
      <c r="F56" s="751"/>
      <c r="G56" s="751"/>
      <c r="H56" s="751"/>
      <c r="I56" s="751"/>
      <c r="J56" s="751"/>
      <c r="K56" s="751"/>
      <c r="L56" s="751"/>
      <c r="M56" s="751"/>
      <c r="N56" s="751"/>
      <c r="O56" s="751"/>
    </row>
    <row r="57" spans="1:15" ht="17.25" customHeight="1">
      <c r="A57" s="751"/>
      <c r="B57" s="751"/>
      <c r="C57" s="751"/>
      <c r="D57" s="751"/>
      <c r="E57" s="751"/>
      <c r="F57" s="751"/>
      <c r="G57" s="751"/>
      <c r="H57" s="751"/>
      <c r="I57" s="751"/>
      <c r="J57" s="751"/>
      <c r="K57" s="751"/>
      <c r="L57" s="751"/>
      <c r="M57" s="751"/>
      <c r="N57" s="751"/>
      <c r="O57" s="751"/>
    </row>
    <row r="58" spans="1:15" ht="10.5" customHeight="1"/>
    <row r="59" spans="1:15" ht="22.5" customHeight="1">
      <c r="A59" s="144" t="s">
        <v>329</v>
      </c>
      <c r="B59" s="144"/>
      <c r="C59" s="294"/>
      <c r="D59" s="294"/>
      <c r="E59" s="294"/>
      <c r="F59" s="294"/>
      <c r="G59" s="640"/>
      <c r="H59" s="640"/>
      <c r="K59" s="639" t="s">
        <v>330</v>
      </c>
      <c r="L59" s="294"/>
      <c r="M59" s="294"/>
      <c r="N59" s="294"/>
      <c r="O59" s="294"/>
    </row>
  </sheetData>
  <sheetProtection password="D19B" sheet="1" objects="1" scenarios="1"/>
  <dataConsolidate>
    <dataRefs count="1">
      <dataRef ref="Q10:Q12" sheet="Tierbestand"/>
    </dataRefs>
  </dataConsolidate>
  <mergeCells count="19">
    <mergeCell ref="D9:I9"/>
    <mergeCell ref="N9:O9"/>
    <mergeCell ref="N8:O8"/>
    <mergeCell ref="A53:O57"/>
    <mergeCell ref="M11:N11"/>
    <mergeCell ref="D11:I11"/>
    <mergeCell ref="D12:I12"/>
    <mergeCell ref="D13:I13"/>
    <mergeCell ref="N20:O20"/>
    <mergeCell ref="C2:F2"/>
    <mergeCell ref="G2:K2"/>
    <mergeCell ref="L2:N2"/>
    <mergeCell ref="D10:I10"/>
    <mergeCell ref="D16:O16"/>
    <mergeCell ref="N4:O4"/>
    <mergeCell ref="D15:O15"/>
    <mergeCell ref="M13:O13"/>
    <mergeCell ref="N10:O10"/>
    <mergeCell ref="D8:I8"/>
  </mergeCells>
  <dataValidations count="3">
    <dataValidation type="list" showInputMessage="1" showErrorMessage="1" promptTitle="Zone" sqref="N10">
      <formula1>Div.Tab.Grundlagen!$C$3:$C$10</formula1>
    </dataValidation>
    <dataValidation type="list" showInputMessage="1" showErrorMessage="1" promptTitle="Zone" sqref="N8">
      <formula1>Div.Tab.Grundlagen!$C$17:$C$18</formula1>
    </dataValidation>
    <dataValidation type="list" showInputMessage="1" showErrorMessage="1" promptTitle="Zone" sqref="M11">
      <formula1>Div.Tab.Grundlagen!$B$24:$B$43</formula1>
    </dataValidation>
  </dataValidations>
  <pageMargins left="0.78740157480314965" right="0.59055118110236227" top="0.39370078740157483" bottom="0.47244094488188981" header="0.31496062992125984" footer="0.31496062992125984"/>
  <pageSetup paperSize="9" scale="75" orientation="portrait" r:id="rId1"/>
  <headerFooter alignWithMargins="0">
    <oddFooter>&amp;L&amp;9 &amp;F / &amp;A / Druckdatum: &amp;D&amp;R&amp;P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Y130"/>
  <sheetViews>
    <sheetView showGridLines="0" zoomScaleNormal="100" workbookViewId="0">
      <pane xSplit="19" ySplit="10" topLeftCell="T11" activePane="bottomRight" state="frozen"/>
      <selection activeCell="Q36" sqref="Q36"/>
      <selection pane="topRight" activeCell="Q36" sqref="Q36"/>
      <selection pane="bottomLeft" activeCell="Q36" sqref="Q36"/>
      <selection pane="bottomRight" activeCell="M3" sqref="M3"/>
    </sheetView>
  </sheetViews>
  <sheetFormatPr baseColWidth="10" defaultRowHeight="12.75"/>
  <cols>
    <col min="1" max="1" width="10.7109375" style="3" customWidth="1"/>
    <col min="2" max="2" width="2.7109375" style="3" customWidth="1"/>
    <col min="3" max="4" width="1.7109375" style="3" customWidth="1"/>
    <col min="5" max="5" width="9.7109375" style="3" customWidth="1"/>
    <col min="6" max="6" width="8.7109375" style="3" customWidth="1"/>
    <col min="7" max="7" width="6.7109375" style="3" customWidth="1"/>
    <col min="8" max="8" width="7.140625" style="139" customWidth="1"/>
    <col min="9" max="9" width="6.7109375" style="376" customWidth="1"/>
    <col min="10" max="10" width="9.140625" style="5" customWidth="1"/>
    <col min="11" max="17" width="6.7109375" style="139" customWidth="1"/>
    <col min="18" max="19" width="9.85546875" style="143" customWidth="1"/>
    <col min="20" max="16384" width="11.42578125" style="3"/>
  </cols>
  <sheetData>
    <row r="1" spans="1:25" s="28" customFormat="1" ht="57" customHeight="1">
      <c r="I1" s="104"/>
      <c r="J1" s="104"/>
      <c r="K1" s="104"/>
      <c r="L1" s="106"/>
      <c r="N1" s="105"/>
      <c r="O1" s="107"/>
    </row>
    <row r="2" spans="1:25" s="717" customFormat="1" ht="33" customHeight="1">
      <c r="A2" s="714" t="s">
        <v>78</v>
      </c>
      <c r="B2" s="714"/>
      <c r="C2" s="741" t="s">
        <v>341</v>
      </c>
      <c r="D2" s="741"/>
      <c r="E2" s="741"/>
      <c r="F2" s="741"/>
      <c r="G2" s="718"/>
      <c r="H2" s="757" t="s">
        <v>342</v>
      </c>
      <c r="I2" s="757"/>
      <c r="J2" s="757"/>
      <c r="K2" s="757"/>
      <c r="M2" s="742" t="str">
        <f>Zusammenfassung!L2</f>
        <v>Stansstaderstrasse 59, 6371 Stans
041 618 40 40, www.nw.ch</v>
      </c>
      <c r="N2" s="742"/>
      <c r="O2" s="742"/>
      <c r="P2" s="742"/>
      <c r="Q2" s="742"/>
      <c r="R2" s="716"/>
      <c r="S2" s="720"/>
    </row>
    <row r="3" spans="1:25" ht="7.5" customHeight="1"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5" s="123" customFormat="1" ht="27" customHeight="1">
      <c r="A4" s="116" t="s">
        <v>189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745" t="str">
        <f>Zusammenfassung!N4</f>
        <v>Version 01.14.
21.01.2014/sn</v>
      </c>
      <c r="S4" s="745"/>
    </row>
    <row r="5" spans="1:25" ht="7.5" customHeight="1">
      <c r="A5" s="28"/>
      <c r="B5" s="28"/>
      <c r="C5" s="28"/>
      <c r="D5" s="28"/>
      <c r="E5" s="104"/>
      <c r="F5" s="104"/>
      <c r="G5" s="104"/>
      <c r="H5" s="104"/>
      <c r="I5" s="28"/>
      <c r="J5" s="28"/>
      <c r="K5" s="28"/>
      <c r="L5" s="28"/>
      <c r="M5" s="268"/>
      <c r="N5" s="3"/>
      <c r="O5" s="3"/>
      <c r="P5" s="3"/>
      <c r="Q5" s="3"/>
      <c r="R5" s="3"/>
      <c r="S5" s="3"/>
    </row>
    <row r="6" spans="1:25" ht="24" customHeight="1">
      <c r="A6" s="124" t="s">
        <v>75</v>
      </c>
      <c r="B6" s="124"/>
      <c r="C6" s="124"/>
      <c r="D6" s="124"/>
      <c r="E6" s="125"/>
      <c r="F6" s="125"/>
      <c r="G6" s="125"/>
      <c r="H6" s="127"/>
      <c r="I6" s="373"/>
      <c r="J6" s="126"/>
      <c r="K6" s="127"/>
      <c r="L6" s="127"/>
      <c r="M6" s="127"/>
      <c r="N6" s="127"/>
      <c r="O6" s="127"/>
      <c r="P6" s="127"/>
      <c r="Q6" s="127"/>
      <c r="R6" s="374"/>
      <c r="S6" s="128"/>
    </row>
    <row r="7" spans="1:25" ht="15" customHeight="1" thickBot="1">
      <c r="A7" s="375"/>
      <c r="B7" s="375"/>
      <c r="C7" s="375"/>
      <c r="D7" s="375"/>
      <c r="L7" s="133"/>
      <c r="M7" s="133"/>
      <c r="N7" s="133"/>
      <c r="O7" s="133"/>
      <c r="P7" s="377"/>
      <c r="Q7" s="377"/>
      <c r="R7" s="134"/>
      <c r="S7" s="378"/>
    </row>
    <row r="8" spans="1:25" ht="20.25" customHeight="1">
      <c r="A8" s="379"/>
      <c r="B8" s="380"/>
      <c r="C8" s="380"/>
      <c r="D8" s="380"/>
      <c r="E8" s="380"/>
      <c r="F8" s="380"/>
      <c r="G8" s="381"/>
      <c r="H8" s="382"/>
      <c r="I8" s="383"/>
      <c r="J8" s="384"/>
      <c r="K8" s="761" t="s">
        <v>187</v>
      </c>
      <c r="L8" s="762"/>
      <c r="M8" s="762"/>
      <c r="N8" s="762"/>
      <c r="O8" s="762"/>
      <c r="P8" s="763"/>
      <c r="Q8" s="763"/>
      <c r="R8" s="764" t="s">
        <v>188</v>
      </c>
      <c r="S8" s="765"/>
    </row>
    <row r="9" spans="1:25" ht="20.25" customHeight="1">
      <c r="A9" s="385"/>
      <c r="B9" s="271"/>
      <c r="C9" s="271"/>
      <c r="D9" s="271"/>
      <c r="E9" s="271"/>
      <c r="F9" s="271"/>
      <c r="G9" s="386"/>
      <c r="H9" s="387"/>
      <c r="I9" s="388"/>
      <c r="J9" s="389"/>
      <c r="K9" s="390" t="s">
        <v>181</v>
      </c>
      <c r="L9" s="391"/>
      <c r="M9" s="391"/>
      <c r="N9" s="390" t="s">
        <v>186</v>
      </c>
      <c r="O9" s="391"/>
      <c r="P9" s="392"/>
      <c r="Q9" s="393"/>
      <c r="R9" s="766"/>
      <c r="S9" s="767"/>
    </row>
    <row r="10" spans="1:25" ht="82.5" customHeight="1" thickBot="1">
      <c r="A10" s="394"/>
      <c r="B10" s="395"/>
      <c r="C10" s="395"/>
      <c r="D10" s="395"/>
      <c r="E10" s="395"/>
      <c r="F10" s="395"/>
      <c r="G10" s="396" t="s">
        <v>12</v>
      </c>
      <c r="H10" s="397" t="s">
        <v>108</v>
      </c>
      <c r="I10" s="398" t="s">
        <v>69</v>
      </c>
      <c r="J10" s="399" t="s">
        <v>107</v>
      </c>
      <c r="K10" s="400" t="s">
        <v>323</v>
      </c>
      <c r="L10" s="401" t="s">
        <v>324</v>
      </c>
      <c r="M10" s="402" t="s">
        <v>325</v>
      </c>
      <c r="N10" s="402" t="s">
        <v>326</v>
      </c>
      <c r="O10" s="402" t="s">
        <v>327</v>
      </c>
      <c r="P10" s="402" t="s">
        <v>328</v>
      </c>
      <c r="Q10" s="403" t="s">
        <v>185</v>
      </c>
      <c r="R10" s="404" t="s">
        <v>110</v>
      </c>
      <c r="S10" s="405" t="s">
        <v>106</v>
      </c>
      <c r="U10" s="29"/>
      <c r="V10" s="29"/>
      <c r="W10" s="28"/>
      <c r="X10" s="29"/>
      <c r="Y10" s="28"/>
    </row>
    <row r="11" spans="1:25" ht="12" customHeight="1" thickBot="1">
      <c r="L11" s="133"/>
      <c r="M11" s="133"/>
      <c r="N11" s="133"/>
      <c r="O11" s="133"/>
      <c r="R11" s="134"/>
      <c r="S11" s="134"/>
    </row>
    <row r="12" spans="1:25" ht="21" customHeight="1">
      <c r="A12" s="406" t="s">
        <v>309</v>
      </c>
      <c r="B12" s="407"/>
      <c r="C12" s="407"/>
      <c r="D12" s="407"/>
      <c r="E12" s="407"/>
      <c r="F12" s="407"/>
      <c r="G12" s="408"/>
      <c r="H12" s="409"/>
      <c r="I12" s="410"/>
      <c r="J12" s="411"/>
      <c r="K12" s="409"/>
      <c r="L12" s="409"/>
      <c r="M12" s="412"/>
      <c r="N12" s="409"/>
      <c r="O12" s="409"/>
      <c r="P12" s="409"/>
      <c r="Q12" s="409"/>
      <c r="R12" s="413"/>
      <c r="S12" s="414"/>
      <c r="U12" s="29"/>
      <c r="V12" s="29"/>
      <c r="W12" s="28"/>
      <c r="X12" s="29"/>
      <c r="Y12" s="28"/>
    </row>
    <row r="13" spans="1:25" ht="15.75" customHeight="1">
      <c r="A13" s="415" t="s">
        <v>0</v>
      </c>
      <c r="B13" s="43"/>
      <c r="C13" s="43"/>
      <c r="D13" s="43"/>
      <c r="E13" s="416" t="s">
        <v>160</v>
      </c>
      <c r="F13" s="417">
        <v>6500</v>
      </c>
      <c r="G13" s="45" t="s">
        <v>1</v>
      </c>
      <c r="H13" s="418">
        <f>SUM(K13:Q13)</f>
        <v>0</v>
      </c>
      <c r="I13" s="46">
        <v>1</v>
      </c>
      <c r="J13" s="419">
        <f>H13*I13</f>
        <v>0</v>
      </c>
      <c r="K13" s="420"/>
      <c r="L13" s="420"/>
      <c r="M13" s="420"/>
      <c r="N13" s="420"/>
      <c r="O13" s="421"/>
      <c r="P13" s="421"/>
      <c r="Q13" s="420"/>
      <c r="R13" s="422">
        <f>K13*'Grundlagen Anfall'!F6+L13*'Grundlagen Anfall'!G6+N13*'Grundlagen Anfall'!J6+O13*'Grundlagen Anfall'!L6+P13*'Grundlagen Anfall'!N6</f>
        <v>0</v>
      </c>
      <c r="S13" s="423">
        <f>L13*'Grundlagen Anfall'!H6+M13*'Grundlagen Anfall'!I6+N13*'Grundlagen Anfall'!K6+O13*'Grundlagen Anfall'!M6+P13*'Grundlagen Anfall'!O6</f>
        <v>0</v>
      </c>
      <c r="U13" s="28"/>
      <c r="V13" s="28"/>
      <c r="W13" s="28"/>
      <c r="X13" s="28"/>
      <c r="Y13" s="28"/>
    </row>
    <row r="14" spans="1:25" ht="15.75" customHeight="1">
      <c r="A14" s="415" t="s">
        <v>243</v>
      </c>
      <c r="B14" s="43"/>
      <c r="C14" s="43"/>
      <c r="D14" s="43"/>
      <c r="E14" s="43"/>
      <c r="F14" s="44">
        <f>F13</f>
        <v>6500</v>
      </c>
      <c r="G14" s="45" t="s">
        <v>1</v>
      </c>
      <c r="H14" s="418">
        <f t="shared" ref="H14:H19" si="0">SUM(K14:Q14)</f>
        <v>0</v>
      </c>
      <c r="I14" s="46">
        <v>1</v>
      </c>
      <c r="J14" s="419">
        <f t="shared" ref="J14:J28" si="1">H14*I14</f>
        <v>0</v>
      </c>
      <c r="K14" s="420"/>
      <c r="L14" s="420"/>
      <c r="M14" s="420"/>
      <c r="N14" s="420"/>
      <c r="O14" s="421"/>
      <c r="P14" s="421"/>
      <c r="Q14" s="420"/>
      <c r="R14" s="422">
        <f>K14*'Grundlagen Anfall'!F7+L14*'Grundlagen Anfall'!G7+N14*'Grundlagen Anfall'!J7+O14*'Grundlagen Anfall'!L7+P14*'Grundlagen Anfall'!N7</f>
        <v>0</v>
      </c>
      <c r="S14" s="423">
        <f>L14*'Grundlagen Anfall'!H7+M14*'Grundlagen Anfall'!I7+N14*'Grundlagen Anfall'!K7+O14*'Grundlagen Anfall'!M7+P14*'Grundlagen Anfall'!O7</f>
        <v>0</v>
      </c>
      <c r="U14" s="28"/>
      <c r="V14" s="28"/>
      <c r="W14" s="28"/>
      <c r="X14" s="28"/>
      <c r="Y14" s="28"/>
    </row>
    <row r="15" spans="1:25" ht="15.75" customHeight="1">
      <c r="A15" s="424" t="s">
        <v>244</v>
      </c>
      <c r="B15" s="55"/>
      <c r="C15" s="55"/>
      <c r="D15" s="55"/>
      <c r="E15" s="55"/>
      <c r="F15" s="55"/>
      <c r="G15" s="45" t="s">
        <v>1</v>
      </c>
      <c r="H15" s="418">
        <f t="shared" si="0"/>
        <v>0</v>
      </c>
      <c r="I15" s="46">
        <v>1</v>
      </c>
      <c r="J15" s="419">
        <f>H15*I15</f>
        <v>0</v>
      </c>
      <c r="K15" s="420"/>
      <c r="L15" s="420"/>
      <c r="M15" s="420"/>
      <c r="N15" s="420"/>
      <c r="O15" s="421"/>
      <c r="P15" s="421"/>
      <c r="Q15" s="420"/>
      <c r="R15" s="422">
        <f>K15*'Grundlagen Anfall'!F8+L15*'Grundlagen Anfall'!G8+N15*'Grundlagen Anfall'!J8+O15*'Grundlagen Anfall'!L8+P15*'Grundlagen Anfall'!N8</f>
        <v>0</v>
      </c>
      <c r="S15" s="423">
        <f>L15*'Grundlagen Anfall'!H8+M15*'Grundlagen Anfall'!I8+N15*'Grundlagen Anfall'!K8+O15*'Grundlagen Anfall'!M8+P15*'Grundlagen Anfall'!O8</f>
        <v>0</v>
      </c>
    </row>
    <row r="16" spans="1:25" ht="15.75" customHeight="1">
      <c r="A16" s="424" t="s">
        <v>2</v>
      </c>
      <c r="B16" s="55"/>
      <c r="C16" s="55"/>
      <c r="D16" s="55"/>
      <c r="E16" s="55"/>
      <c r="F16" s="55"/>
      <c r="G16" s="45" t="s">
        <v>1</v>
      </c>
      <c r="H16" s="418">
        <f t="shared" si="0"/>
        <v>0</v>
      </c>
      <c r="I16" s="46">
        <v>0.3</v>
      </c>
      <c r="J16" s="419">
        <f t="shared" si="1"/>
        <v>0</v>
      </c>
      <c r="K16" s="420"/>
      <c r="L16" s="420"/>
      <c r="M16" s="420"/>
      <c r="N16" s="420"/>
      <c r="O16" s="421"/>
      <c r="P16" s="421"/>
      <c r="Q16" s="420"/>
      <c r="R16" s="422">
        <f>K16*'Grundlagen Anfall'!F9+L16*'Grundlagen Anfall'!G9+N16*'Grundlagen Anfall'!J9+O16*'Grundlagen Anfall'!L9+P16*'Grundlagen Anfall'!N9</f>
        <v>0</v>
      </c>
      <c r="S16" s="423">
        <f>L16*'Grundlagen Anfall'!H9+M16*'Grundlagen Anfall'!I9+N16*'Grundlagen Anfall'!K9+O16*'Grundlagen Anfall'!M9+P16*'Grundlagen Anfall'!O9</f>
        <v>0</v>
      </c>
    </row>
    <row r="17" spans="1:25" ht="15.75" customHeight="1">
      <c r="A17" s="424" t="s">
        <v>3</v>
      </c>
      <c r="B17" s="55"/>
      <c r="C17" s="55"/>
      <c r="D17" s="55"/>
      <c r="E17" s="55"/>
      <c r="F17" s="55"/>
      <c r="G17" s="45" t="s">
        <v>1</v>
      </c>
      <c r="H17" s="418">
        <f t="shared" si="0"/>
        <v>0</v>
      </c>
      <c r="I17" s="46">
        <v>0.4</v>
      </c>
      <c r="J17" s="419">
        <f t="shared" si="1"/>
        <v>0</v>
      </c>
      <c r="K17" s="420"/>
      <c r="L17" s="420"/>
      <c r="M17" s="420"/>
      <c r="N17" s="420"/>
      <c r="O17" s="421"/>
      <c r="P17" s="421"/>
      <c r="Q17" s="420"/>
      <c r="R17" s="422">
        <f>K17*'Grundlagen Anfall'!F10+L17*'Grundlagen Anfall'!G10+N17*'Grundlagen Anfall'!J10+O17*'Grundlagen Anfall'!L10+P17*'Grundlagen Anfall'!N10</f>
        <v>0</v>
      </c>
      <c r="S17" s="423">
        <f>L17*'Grundlagen Anfall'!H10+M17*'Grundlagen Anfall'!I10+N17*'Grundlagen Anfall'!K10+O17*'Grundlagen Anfall'!M10+P17*'Grundlagen Anfall'!O10</f>
        <v>0</v>
      </c>
    </row>
    <row r="18" spans="1:25" ht="15.75" customHeight="1">
      <c r="A18" s="424" t="s">
        <v>4</v>
      </c>
      <c r="B18" s="55"/>
      <c r="C18" s="55"/>
      <c r="D18" s="55"/>
      <c r="E18" s="55"/>
      <c r="F18" s="55"/>
      <c r="G18" s="45" t="s">
        <v>5</v>
      </c>
      <c r="H18" s="418">
        <f t="shared" si="0"/>
        <v>0</v>
      </c>
      <c r="I18" s="46">
        <v>0.6</v>
      </c>
      <c r="J18" s="419">
        <f t="shared" si="1"/>
        <v>0</v>
      </c>
      <c r="K18" s="420"/>
      <c r="L18" s="420"/>
      <c r="M18" s="420"/>
      <c r="N18" s="420"/>
      <c r="O18" s="421"/>
      <c r="P18" s="421"/>
      <c r="Q18" s="420"/>
      <c r="R18" s="422">
        <f>K18*'Grundlagen Anfall'!F11+L18*'Grundlagen Anfall'!G11+N18*'Grundlagen Anfall'!J11+O18*'Grundlagen Anfall'!L11+P18*'Grundlagen Anfall'!N11</f>
        <v>0</v>
      </c>
      <c r="S18" s="423">
        <f>L18*'Grundlagen Anfall'!H11+M18*'Grundlagen Anfall'!I11+N18*'Grundlagen Anfall'!K11+O18*'Grundlagen Anfall'!M11+P18*'Grundlagen Anfall'!O11</f>
        <v>0</v>
      </c>
    </row>
    <row r="19" spans="1:25" ht="15.75" customHeight="1">
      <c r="A19" s="424" t="s">
        <v>38</v>
      </c>
      <c r="B19" s="55"/>
      <c r="C19" s="55"/>
      <c r="D19" s="55"/>
      <c r="E19" s="55"/>
      <c r="F19" s="55"/>
      <c r="G19" s="45" t="s">
        <v>1</v>
      </c>
      <c r="H19" s="418">
        <f t="shared" si="0"/>
        <v>0</v>
      </c>
      <c r="I19" s="46">
        <v>0.6</v>
      </c>
      <c r="J19" s="419">
        <f t="shared" si="1"/>
        <v>0</v>
      </c>
      <c r="K19" s="420"/>
      <c r="L19" s="420"/>
      <c r="M19" s="420"/>
      <c r="N19" s="420"/>
      <c r="O19" s="421"/>
      <c r="P19" s="421"/>
      <c r="Q19" s="420"/>
      <c r="R19" s="422">
        <f>K19*'Grundlagen Anfall'!F12+L19*'Grundlagen Anfall'!G12+N19*'Grundlagen Anfall'!J12+O19*'Grundlagen Anfall'!L12+P19*'Grundlagen Anfall'!N12</f>
        <v>0</v>
      </c>
      <c r="S19" s="423">
        <f>L19*'Grundlagen Anfall'!H12+M19*'Grundlagen Anfall'!I12+N19*'Grundlagen Anfall'!K12+O19*'Grundlagen Anfall'!M12+P19*'Grundlagen Anfall'!O12</f>
        <v>0</v>
      </c>
    </row>
    <row r="20" spans="1:25" ht="15.75" customHeight="1" thickBot="1">
      <c r="A20" s="425" t="s">
        <v>8</v>
      </c>
      <c r="B20" s="758"/>
      <c r="C20" s="759"/>
      <c r="D20" s="759"/>
      <c r="E20" s="759"/>
      <c r="F20" s="760"/>
      <c r="G20" s="426"/>
      <c r="H20" s="427">
        <f>SUM(K20:Q20)</f>
        <v>0</v>
      </c>
      <c r="I20" s="428"/>
      <c r="J20" s="419">
        <f t="shared" si="1"/>
        <v>0</v>
      </c>
      <c r="K20" s="429"/>
      <c r="L20" s="429"/>
      <c r="M20" s="429"/>
      <c r="N20" s="429"/>
      <c r="O20" s="430"/>
      <c r="P20" s="430"/>
      <c r="Q20" s="429"/>
      <c r="R20" s="431"/>
      <c r="S20" s="432"/>
    </row>
    <row r="21" spans="1:25" ht="18" customHeight="1" thickBot="1">
      <c r="A21" s="433"/>
      <c r="B21" s="433"/>
      <c r="C21" s="433"/>
      <c r="D21" s="433"/>
      <c r="E21" s="434"/>
      <c r="F21" s="433"/>
      <c r="G21" s="435"/>
      <c r="H21" s="452">
        <f>SUM(H13:H20)</f>
        <v>0</v>
      </c>
      <c r="I21" s="623">
        <f>SUM(K21:Q21)</f>
        <v>0</v>
      </c>
      <c r="J21" s="436">
        <f>SUM(J13:J20)</f>
        <v>0</v>
      </c>
      <c r="K21" s="437">
        <f>SUM(K13:K20)</f>
        <v>0</v>
      </c>
      <c r="L21" s="437">
        <f t="shared" ref="L21:S21" si="2">SUM(L13:L20)</f>
        <v>0</v>
      </c>
      <c r="M21" s="437">
        <f t="shared" si="2"/>
        <v>0</v>
      </c>
      <c r="N21" s="437">
        <f t="shared" si="2"/>
        <v>0</v>
      </c>
      <c r="O21" s="437">
        <f t="shared" si="2"/>
        <v>0</v>
      </c>
      <c r="P21" s="437">
        <f t="shared" si="2"/>
        <v>0</v>
      </c>
      <c r="Q21" s="437">
        <f t="shared" si="2"/>
        <v>0</v>
      </c>
      <c r="R21" s="438">
        <f t="shared" si="2"/>
        <v>0</v>
      </c>
      <c r="S21" s="439">
        <f t="shared" si="2"/>
        <v>0</v>
      </c>
    </row>
    <row r="22" spans="1:25" ht="12" customHeight="1" thickBot="1">
      <c r="L22" s="133"/>
      <c r="M22" s="133"/>
      <c r="N22" s="133"/>
      <c r="O22" s="133"/>
      <c r="R22" s="134"/>
      <c r="S22" s="440"/>
    </row>
    <row r="23" spans="1:25" ht="21" customHeight="1">
      <c r="A23" s="406" t="s">
        <v>141</v>
      </c>
      <c r="B23" s="407"/>
      <c r="C23" s="407"/>
      <c r="D23" s="407"/>
      <c r="E23" s="407"/>
      <c r="F23" s="407"/>
      <c r="G23" s="408"/>
      <c r="H23" s="409"/>
      <c r="I23" s="410"/>
      <c r="J23" s="411"/>
      <c r="K23" s="409"/>
      <c r="L23" s="409"/>
      <c r="M23" s="412"/>
      <c r="N23" s="409"/>
      <c r="O23" s="409"/>
      <c r="P23" s="409"/>
      <c r="Q23" s="409"/>
      <c r="R23" s="413"/>
      <c r="S23" s="414"/>
      <c r="U23" s="29"/>
      <c r="V23" s="29"/>
      <c r="W23" s="28"/>
      <c r="X23" s="29"/>
      <c r="Y23" s="28"/>
    </row>
    <row r="24" spans="1:25" ht="15.75" customHeight="1">
      <c r="A24" s="424" t="s">
        <v>161</v>
      </c>
      <c r="B24" s="55"/>
      <c r="C24" s="55"/>
      <c r="D24" s="55"/>
      <c r="E24" s="441"/>
      <c r="F24" s="441"/>
      <c r="G24" s="45" t="s">
        <v>1</v>
      </c>
      <c r="H24" s="418">
        <f t="shared" ref="H24:H30" si="3">SUM(K24:Q24)</f>
        <v>0</v>
      </c>
      <c r="I24" s="46">
        <v>0.8</v>
      </c>
      <c r="J24" s="419">
        <f t="shared" si="1"/>
        <v>0</v>
      </c>
      <c r="K24" s="442"/>
      <c r="L24" s="442"/>
      <c r="M24" s="442"/>
      <c r="N24" s="442"/>
      <c r="O24" s="443"/>
      <c r="P24" s="443"/>
      <c r="Q24" s="442"/>
      <c r="R24" s="422">
        <f>K24*'Grundlagen Anfall'!F17+L24*'Grundlagen Anfall'!G17+N24*'Grundlagen Anfall'!J17+O24*'Grundlagen Anfall'!L17+P24*'Grundlagen Anfall'!N17</f>
        <v>0</v>
      </c>
      <c r="S24" s="423">
        <f>L24*'Grundlagen Anfall'!H17+M24*'Grundlagen Anfall'!I17+N24*'Grundlagen Anfall'!K17+O24*'Grundlagen Anfall'!M17+P24*'Grundlagen Anfall'!O17</f>
        <v>0</v>
      </c>
    </row>
    <row r="25" spans="1:25" ht="15.75" customHeight="1">
      <c r="A25" s="424" t="s">
        <v>162</v>
      </c>
      <c r="B25" s="55"/>
      <c r="C25" s="55"/>
      <c r="D25" s="55"/>
      <c r="E25" s="441"/>
      <c r="F25" s="441"/>
      <c r="G25" s="45" t="s">
        <v>1</v>
      </c>
      <c r="H25" s="418">
        <f t="shared" si="3"/>
        <v>0</v>
      </c>
      <c r="I25" s="46">
        <v>0.8</v>
      </c>
      <c r="J25" s="419">
        <f t="shared" si="1"/>
        <v>0</v>
      </c>
      <c r="K25" s="442"/>
      <c r="L25" s="442"/>
      <c r="M25" s="442"/>
      <c r="N25" s="442"/>
      <c r="O25" s="443"/>
      <c r="P25" s="443"/>
      <c r="Q25" s="442"/>
      <c r="R25" s="422">
        <f>K25*'Grundlagen Anfall'!F18+L25*'Grundlagen Anfall'!G18+N25*'Grundlagen Anfall'!J18+O25*'Grundlagen Anfall'!L18+P25*'Grundlagen Anfall'!N18</f>
        <v>0</v>
      </c>
      <c r="S25" s="423">
        <f>L25*'Grundlagen Anfall'!H18+M25*'Grundlagen Anfall'!I18+N25*'Grundlagen Anfall'!K18+O25*'Grundlagen Anfall'!M18+P25*'Grundlagen Anfall'!O18</f>
        <v>0</v>
      </c>
    </row>
    <row r="26" spans="1:25" ht="15.75" customHeight="1">
      <c r="A26" s="424" t="s">
        <v>163</v>
      </c>
      <c r="B26" s="55"/>
      <c r="C26" s="55"/>
      <c r="D26" s="55"/>
      <c r="E26" s="444"/>
      <c r="F26" s="441"/>
      <c r="G26" s="45" t="s">
        <v>1</v>
      </c>
      <c r="H26" s="418">
        <f t="shared" si="3"/>
        <v>0</v>
      </c>
      <c r="I26" s="46">
        <v>0.8</v>
      </c>
      <c r="J26" s="419">
        <f t="shared" si="1"/>
        <v>0</v>
      </c>
      <c r="K26" s="442"/>
      <c r="L26" s="442"/>
      <c r="M26" s="442"/>
      <c r="N26" s="442"/>
      <c r="O26" s="443"/>
      <c r="P26" s="443"/>
      <c r="Q26" s="442"/>
      <c r="R26" s="422">
        <f>K26*'Grundlagen Anfall'!F19+L26*'Grundlagen Anfall'!G19+N26*'Grundlagen Anfall'!J19+O26*'Grundlagen Anfall'!L19+P26*'Grundlagen Anfall'!N19</f>
        <v>0</v>
      </c>
      <c r="S26" s="423">
        <f>L26*'Grundlagen Anfall'!H19+M26*'Grundlagen Anfall'!I19+N26*'Grundlagen Anfall'!K19+O26*'Grundlagen Anfall'!M19+P26*'Grundlagen Anfall'!O19</f>
        <v>0</v>
      </c>
    </row>
    <row r="27" spans="1:25" ht="15.75" customHeight="1">
      <c r="A27" s="424" t="s">
        <v>164</v>
      </c>
      <c r="B27" s="55"/>
      <c r="C27" s="55"/>
      <c r="D27" s="55"/>
      <c r="E27" s="55"/>
      <c r="F27" s="441"/>
      <c r="G27" s="45" t="s">
        <v>1</v>
      </c>
      <c r="H27" s="418">
        <f t="shared" si="3"/>
        <v>0</v>
      </c>
      <c r="I27" s="46">
        <v>0.17</v>
      </c>
      <c r="J27" s="419">
        <f t="shared" si="1"/>
        <v>0</v>
      </c>
      <c r="K27" s="445"/>
      <c r="L27" s="420"/>
      <c r="M27" s="420"/>
      <c r="N27" s="445"/>
      <c r="O27" s="443"/>
      <c r="P27" s="446"/>
      <c r="Q27" s="442"/>
      <c r="R27" s="422">
        <f>K27*'Grundlagen Anfall'!F20+L27*'Grundlagen Anfall'!G20+N27*'Grundlagen Anfall'!J20+O27*'Grundlagen Anfall'!L20+P27*'Grundlagen Anfall'!N20</f>
        <v>0</v>
      </c>
      <c r="S27" s="423">
        <f>L27*'Grundlagen Anfall'!H20+M27*'Grundlagen Anfall'!I20+N27*'Grundlagen Anfall'!K20+O27*'Grundlagen Anfall'!M20+P27*'Grundlagen Anfall'!O20</f>
        <v>0</v>
      </c>
    </row>
    <row r="28" spans="1:25" ht="15.75" customHeight="1">
      <c r="A28" s="424" t="s">
        <v>165</v>
      </c>
      <c r="B28" s="55"/>
      <c r="C28" s="55"/>
      <c r="D28" s="55"/>
      <c r="E28" s="55"/>
      <c r="F28" s="441"/>
      <c r="G28" s="45" t="s">
        <v>1</v>
      </c>
      <c r="H28" s="418">
        <f t="shared" si="3"/>
        <v>0</v>
      </c>
      <c r="I28" s="46">
        <v>0.17</v>
      </c>
      <c r="J28" s="447">
        <f t="shared" si="1"/>
        <v>0</v>
      </c>
      <c r="K28" s="445"/>
      <c r="L28" s="442"/>
      <c r="M28" s="420"/>
      <c r="N28" s="445"/>
      <c r="O28" s="443"/>
      <c r="P28" s="446"/>
      <c r="Q28" s="442"/>
      <c r="R28" s="422">
        <f>K28*'Grundlagen Anfall'!F21+L28*'Grundlagen Anfall'!G21+N28*'Grundlagen Anfall'!J21+O28*'Grundlagen Anfall'!L21+P28*'Grundlagen Anfall'!N21</f>
        <v>0</v>
      </c>
      <c r="S28" s="423">
        <f>L28*'Grundlagen Anfall'!H21+M28*'Grundlagen Anfall'!I21+N28*'Grundlagen Anfall'!K21+O28*'Grundlagen Anfall'!M21+P28*'Grundlagen Anfall'!O21</f>
        <v>0</v>
      </c>
    </row>
    <row r="29" spans="1:25" ht="15.75" customHeight="1">
      <c r="A29" s="424" t="s">
        <v>38</v>
      </c>
      <c r="B29" s="55"/>
      <c r="C29" s="55"/>
      <c r="D29" s="55"/>
      <c r="E29" s="55"/>
      <c r="F29" s="55"/>
      <c r="G29" s="45" t="s">
        <v>1</v>
      </c>
      <c r="H29" s="418">
        <f t="shared" si="3"/>
        <v>0</v>
      </c>
      <c r="I29" s="46">
        <v>0.6</v>
      </c>
      <c r="J29" s="419">
        <f>H29*I29</f>
        <v>0</v>
      </c>
      <c r="K29" s="420"/>
      <c r="L29" s="420"/>
      <c r="M29" s="420"/>
      <c r="N29" s="420"/>
      <c r="O29" s="421"/>
      <c r="P29" s="421"/>
      <c r="Q29" s="420"/>
      <c r="R29" s="422">
        <f>K29*'Grundlagen Anfall'!F22+L29*'Grundlagen Anfall'!G22+N29*'Grundlagen Anfall'!J22+O29*'Grundlagen Anfall'!L22+P29*'Grundlagen Anfall'!N22</f>
        <v>0</v>
      </c>
      <c r="S29" s="423">
        <f>L29*'Grundlagen Anfall'!H22+M29*'Grundlagen Anfall'!I22+N29*'Grundlagen Anfall'!K22+O29*'Grundlagen Anfall'!M22+P29*'Grundlagen Anfall'!O22</f>
        <v>0</v>
      </c>
    </row>
    <row r="30" spans="1:25" ht="15.75" customHeight="1" thickBot="1">
      <c r="A30" s="425" t="s">
        <v>8</v>
      </c>
      <c r="B30" s="758"/>
      <c r="C30" s="759"/>
      <c r="D30" s="759"/>
      <c r="E30" s="759"/>
      <c r="F30" s="760"/>
      <c r="G30" s="426"/>
      <c r="H30" s="427">
        <f t="shared" si="3"/>
        <v>0</v>
      </c>
      <c r="I30" s="428"/>
      <c r="J30" s="448">
        <f>H30*I30</f>
        <v>0</v>
      </c>
      <c r="K30" s="449"/>
      <c r="L30" s="450"/>
      <c r="M30" s="449"/>
      <c r="N30" s="449"/>
      <c r="O30" s="450"/>
      <c r="P30" s="449"/>
      <c r="Q30" s="449"/>
      <c r="R30" s="451"/>
      <c r="S30" s="432"/>
    </row>
    <row r="31" spans="1:25" ht="18" customHeight="1" thickBot="1">
      <c r="A31" s="433"/>
      <c r="B31" s="433"/>
      <c r="C31" s="433"/>
      <c r="D31" s="433"/>
      <c r="E31" s="434"/>
      <c r="F31" s="433"/>
      <c r="G31" s="435"/>
      <c r="H31" s="452">
        <f>SUM(H24:H30)</f>
        <v>0</v>
      </c>
      <c r="I31" s="623">
        <f>SUM(K31:Q31)</f>
        <v>0</v>
      </c>
      <c r="J31" s="436">
        <f>SUM(J24:J30)</f>
        <v>0</v>
      </c>
      <c r="K31" s="437">
        <f t="shared" ref="K31:S31" si="4">SUM(K24:K30)</f>
        <v>0</v>
      </c>
      <c r="L31" s="437">
        <f t="shared" si="4"/>
        <v>0</v>
      </c>
      <c r="M31" s="437">
        <f t="shared" si="4"/>
        <v>0</v>
      </c>
      <c r="N31" s="437">
        <f t="shared" si="4"/>
        <v>0</v>
      </c>
      <c r="O31" s="437">
        <f t="shared" si="4"/>
        <v>0</v>
      </c>
      <c r="P31" s="437">
        <f t="shared" si="4"/>
        <v>0</v>
      </c>
      <c r="Q31" s="437">
        <f t="shared" si="4"/>
        <v>0</v>
      </c>
      <c r="R31" s="438">
        <f t="shared" si="4"/>
        <v>0</v>
      </c>
      <c r="S31" s="439">
        <f t="shared" si="4"/>
        <v>0</v>
      </c>
    </row>
    <row r="32" spans="1:25" ht="12" customHeight="1" thickBot="1">
      <c r="L32" s="133"/>
      <c r="M32" s="133"/>
      <c r="N32" s="133"/>
      <c r="O32" s="133"/>
      <c r="R32" s="134"/>
      <c r="S32" s="440"/>
    </row>
    <row r="33" spans="1:25" ht="21" customHeight="1">
      <c r="A33" s="406" t="s">
        <v>33</v>
      </c>
      <c r="B33" s="407"/>
      <c r="C33" s="407"/>
      <c r="D33" s="407"/>
      <c r="E33" s="407"/>
      <c r="F33" s="407"/>
      <c r="G33" s="408"/>
      <c r="H33" s="409"/>
      <c r="I33" s="410"/>
      <c r="J33" s="411"/>
      <c r="K33" s="409"/>
      <c r="L33" s="409"/>
      <c r="M33" s="412"/>
      <c r="N33" s="409"/>
      <c r="O33" s="409"/>
      <c r="P33" s="409"/>
      <c r="Q33" s="409"/>
      <c r="R33" s="413"/>
      <c r="S33" s="414"/>
      <c r="U33" s="29"/>
      <c r="V33" s="29"/>
      <c r="W33" s="28"/>
      <c r="X33" s="29"/>
      <c r="Y33" s="28"/>
    </row>
    <row r="34" spans="1:25" ht="15.75" customHeight="1">
      <c r="A34" s="489" t="s">
        <v>6</v>
      </c>
      <c r="B34" s="75"/>
      <c r="C34" s="75"/>
      <c r="D34" s="75"/>
      <c r="E34" s="75"/>
      <c r="F34" s="75"/>
      <c r="G34" s="34" t="s">
        <v>5</v>
      </c>
      <c r="H34" s="453">
        <f>SUM(K34:Q34)</f>
        <v>0</v>
      </c>
      <c r="I34" s="35">
        <v>0.1</v>
      </c>
      <c r="J34" s="454">
        <f t="shared" ref="J34:J44" si="5">H34*I34</f>
        <v>0</v>
      </c>
      <c r="K34" s="446"/>
      <c r="L34" s="446"/>
      <c r="M34" s="443"/>
      <c r="N34" s="446"/>
      <c r="O34" s="446"/>
      <c r="P34" s="446"/>
      <c r="Q34" s="421"/>
      <c r="R34" s="422">
        <f>K34*'Grundlagen Anfall'!F27+L34*'Grundlagen Anfall'!G27+N34*'Grundlagen Anfall'!J27+O34*'Grundlagen Anfall'!L27+P34*'Grundlagen Anfall'!N27</f>
        <v>0</v>
      </c>
      <c r="S34" s="423">
        <f>L34*'Grundlagen Anfall'!H27+M34*'Grundlagen Anfall'!I27+N34*'Grundlagen Anfall'!K27+O34*'Grundlagen Anfall'!M27+P34*'Grundlagen Anfall'!O27</f>
        <v>0</v>
      </c>
    </row>
    <row r="35" spans="1:25" ht="15.75" customHeight="1">
      <c r="A35" s="424" t="s">
        <v>7</v>
      </c>
      <c r="B35" s="455"/>
      <c r="C35" s="455"/>
      <c r="D35" s="455"/>
      <c r="E35" s="455"/>
      <c r="F35" s="455"/>
      <c r="G35" s="45" t="s">
        <v>1</v>
      </c>
      <c r="H35" s="456">
        <f>SUM(K35:Q35)</f>
        <v>0</v>
      </c>
      <c r="I35" s="46">
        <v>0.04</v>
      </c>
      <c r="J35" s="457">
        <f t="shared" si="5"/>
        <v>0</v>
      </c>
      <c r="K35" s="446"/>
      <c r="L35" s="446"/>
      <c r="M35" s="443"/>
      <c r="N35" s="446"/>
      <c r="O35" s="446"/>
      <c r="P35" s="446"/>
      <c r="Q35" s="421"/>
      <c r="R35" s="422">
        <f>K35*'Grundlagen Anfall'!F28+L35*'Grundlagen Anfall'!G28+N35*'Grundlagen Anfall'!J28+O35*'Grundlagen Anfall'!L28+P35*'Grundlagen Anfall'!N28</f>
        <v>0</v>
      </c>
      <c r="S35" s="423">
        <f>L35*'Grundlagen Anfall'!H28+M35*'Grundlagen Anfall'!I28+N35*'Grundlagen Anfall'!K28+O35*'Grundlagen Anfall'!M28+P35*'Grundlagen Anfall'!O28</f>
        <v>0</v>
      </c>
    </row>
    <row r="36" spans="1:25" ht="15.75" customHeight="1">
      <c r="A36" s="424" t="s">
        <v>250</v>
      </c>
      <c r="B36" s="455"/>
      <c r="C36" s="455"/>
      <c r="D36" s="455"/>
      <c r="E36" s="455"/>
      <c r="F36" s="458"/>
      <c r="G36" s="45" t="s">
        <v>5</v>
      </c>
      <c r="H36" s="456">
        <f t="shared" ref="H36:H51" si="6">SUM(K36:Q36)</f>
        <v>0</v>
      </c>
      <c r="I36" s="46">
        <v>0.31</v>
      </c>
      <c r="J36" s="457">
        <f t="shared" si="5"/>
        <v>0</v>
      </c>
      <c r="K36" s="421"/>
      <c r="L36" s="446"/>
      <c r="M36" s="421"/>
      <c r="N36" s="421"/>
      <c r="O36" s="421"/>
      <c r="P36" s="421"/>
      <c r="Q36" s="421"/>
      <c r="R36" s="422">
        <f>K36*'Grundlagen Anfall'!F29+L36*'Grundlagen Anfall'!G29+N36*'Grundlagen Anfall'!J29+O36*'Grundlagen Anfall'!L29+P36*'Grundlagen Anfall'!N29</f>
        <v>0</v>
      </c>
      <c r="S36" s="423">
        <f>L36*'Grundlagen Anfall'!H29+M36*'Grundlagen Anfall'!I29+N36*'Grundlagen Anfall'!K29+O36*'Grundlagen Anfall'!M29+P36*'Grundlagen Anfall'!O29</f>
        <v>0</v>
      </c>
    </row>
    <row r="37" spans="1:25" ht="15.75" customHeight="1">
      <c r="A37" s="424" t="s">
        <v>167</v>
      </c>
      <c r="B37" s="455"/>
      <c r="C37" s="455"/>
      <c r="D37" s="455"/>
      <c r="E37" s="455"/>
      <c r="F37" s="458"/>
      <c r="G37" s="45" t="s">
        <v>5</v>
      </c>
      <c r="H37" s="456">
        <f t="shared" si="6"/>
        <v>0</v>
      </c>
      <c r="I37" s="46">
        <v>0.08</v>
      </c>
      <c r="J37" s="457">
        <f t="shared" si="5"/>
        <v>0</v>
      </c>
      <c r="K37" s="421"/>
      <c r="L37" s="446"/>
      <c r="M37" s="421"/>
      <c r="N37" s="421"/>
      <c r="O37" s="421"/>
      <c r="P37" s="421"/>
      <c r="Q37" s="421"/>
      <c r="R37" s="422">
        <f>K37*'Grundlagen Anfall'!F30+L37*'Grundlagen Anfall'!G30+N37*'Grundlagen Anfall'!J30+O37*'Grundlagen Anfall'!L30+P37*'Grundlagen Anfall'!N30</f>
        <v>0</v>
      </c>
      <c r="S37" s="423">
        <f>L37*'Grundlagen Anfall'!H30+M37*'Grundlagen Anfall'!I30+N37*'Grundlagen Anfall'!K30+O37*'Grundlagen Anfall'!M30+P37*'Grundlagen Anfall'!O30</f>
        <v>0</v>
      </c>
    </row>
    <row r="38" spans="1:25" ht="15.75" customHeight="1">
      <c r="A38" s="424" t="s">
        <v>168</v>
      </c>
      <c r="B38" s="455"/>
      <c r="C38" s="455"/>
      <c r="D38" s="455"/>
      <c r="E38" s="455"/>
      <c r="F38" s="458"/>
      <c r="G38" s="45" t="s">
        <v>5</v>
      </c>
      <c r="H38" s="456">
        <f t="shared" si="6"/>
        <v>0</v>
      </c>
      <c r="I38" s="46">
        <v>0.4</v>
      </c>
      <c r="J38" s="457">
        <f t="shared" si="5"/>
        <v>0</v>
      </c>
      <c r="K38" s="421"/>
      <c r="L38" s="446"/>
      <c r="M38" s="421"/>
      <c r="N38" s="421"/>
      <c r="O38" s="421"/>
      <c r="P38" s="421"/>
      <c r="Q38" s="421"/>
      <c r="R38" s="422">
        <f>K38*'Grundlagen Anfall'!F31+L38*'Grundlagen Anfall'!G31+N38*'Grundlagen Anfall'!J31+O38*'Grundlagen Anfall'!L31+P38*'Grundlagen Anfall'!N31</f>
        <v>0</v>
      </c>
      <c r="S38" s="423">
        <f>L38*'Grundlagen Anfall'!H31+M38*'Grundlagen Anfall'!I31+N38*'Grundlagen Anfall'!K31+O38*'Grundlagen Anfall'!M31+P38*'Grundlagen Anfall'!O31</f>
        <v>0</v>
      </c>
    </row>
    <row r="39" spans="1:25" ht="15.75" customHeight="1">
      <c r="A39" s="424" t="s">
        <v>39</v>
      </c>
      <c r="B39" s="455"/>
      <c r="C39" s="455"/>
      <c r="D39" s="455"/>
      <c r="E39" s="455"/>
      <c r="F39" s="458"/>
      <c r="G39" s="45" t="s">
        <v>5</v>
      </c>
      <c r="H39" s="456">
        <f t="shared" si="6"/>
        <v>0</v>
      </c>
      <c r="I39" s="46">
        <v>0.18</v>
      </c>
      <c r="J39" s="457">
        <f t="shared" si="5"/>
        <v>0</v>
      </c>
      <c r="K39" s="421"/>
      <c r="L39" s="446"/>
      <c r="M39" s="421"/>
      <c r="N39" s="421"/>
      <c r="O39" s="421"/>
      <c r="P39" s="421"/>
      <c r="Q39" s="421"/>
      <c r="R39" s="422">
        <f>K39*'Grundlagen Anfall'!F32+L39*'Grundlagen Anfall'!G32+N39*'Grundlagen Anfall'!J32+O39*'Grundlagen Anfall'!L32+P39*'Grundlagen Anfall'!N32</f>
        <v>0</v>
      </c>
      <c r="S39" s="423">
        <f>L39*'Grundlagen Anfall'!H32+M39*'Grundlagen Anfall'!I32+N39*'Grundlagen Anfall'!K32+O39*'Grundlagen Anfall'!M32+P39*'Grundlagen Anfall'!O32</f>
        <v>0</v>
      </c>
    </row>
    <row r="40" spans="1:25" ht="15.75" customHeight="1">
      <c r="A40" s="424" t="s">
        <v>46</v>
      </c>
      <c r="B40" s="455"/>
      <c r="C40" s="455"/>
      <c r="D40" s="455"/>
      <c r="E40" s="455"/>
      <c r="F40" s="458"/>
      <c r="G40" s="45" t="s">
        <v>1</v>
      </c>
      <c r="H40" s="456">
        <f t="shared" si="6"/>
        <v>0</v>
      </c>
      <c r="I40" s="46">
        <v>0.03</v>
      </c>
      <c r="J40" s="457">
        <f t="shared" si="5"/>
        <v>0</v>
      </c>
      <c r="K40" s="421"/>
      <c r="L40" s="446"/>
      <c r="M40" s="421"/>
      <c r="N40" s="421"/>
      <c r="O40" s="421"/>
      <c r="P40" s="421"/>
      <c r="Q40" s="421"/>
      <c r="R40" s="422">
        <f>K40*'Grundlagen Anfall'!F33+L40*'Grundlagen Anfall'!G33+N40*'Grundlagen Anfall'!J33+O40*'Grundlagen Anfall'!L33+P40*'Grundlagen Anfall'!N33</f>
        <v>0</v>
      </c>
      <c r="S40" s="423">
        <f>L40*'Grundlagen Anfall'!H33+M40*'Grundlagen Anfall'!I33+N40*'Grundlagen Anfall'!K33+O40*'Grundlagen Anfall'!M33+P40*'Grundlagen Anfall'!O33</f>
        <v>0</v>
      </c>
    </row>
    <row r="41" spans="1:25" ht="15.75" customHeight="1">
      <c r="A41" s="424" t="s">
        <v>42</v>
      </c>
      <c r="B41" s="455"/>
      <c r="C41" s="455"/>
      <c r="D41" s="455"/>
      <c r="E41" s="455"/>
      <c r="F41" s="458"/>
      <c r="G41" s="45" t="s">
        <v>5</v>
      </c>
      <c r="H41" s="456">
        <f t="shared" si="6"/>
        <v>0</v>
      </c>
      <c r="I41" s="46">
        <v>0.4</v>
      </c>
      <c r="J41" s="457">
        <f t="shared" si="5"/>
        <v>0</v>
      </c>
      <c r="K41" s="421"/>
      <c r="L41" s="446"/>
      <c r="M41" s="421"/>
      <c r="N41" s="421"/>
      <c r="O41" s="421"/>
      <c r="P41" s="421"/>
      <c r="Q41" s="421"/>
      <c r="R41" s="422">
        <f>K41*'Grundlagen Anfall'!F34+L41*'Grundlagen Anfall'!G34+N41*'Grundlagen Anfall'!J34+O41*'Grundlagen Anfall'!L34+P41*'Grundlagen Anfall'!N34</f>
        <v>0</v>
      </c>
      <c r="S41" s="423">
        <f>L41*'Grundlagen Anfall'!H34+M41*'Grundlagen Anfall'!I34+N41*'Grundlagen Anfall'!K34+O41*'Grundlagen Anfall'!M34+P41*'Grundlagen Anfall'!O34</f>
        <v>0</v>
      </c>
    </row>
    <row r="42" spans="1:25" ht="15.75" customHeight="1">
      <c r="A42" s="424" t="s">
        <v>249</v>
      </c>
      <c r="B42" s="455"/>
      <c r="C42" s="455"/>
      <c r="D42" s="455"/>
      <c r="E42" s="455"/>
      <c r="F42" s="458"/>
      <c r="G42" s="45" t="s">
        <v>1</v>
      </c>
      <c r="H42" s="456">
        <f t="shared" si="6"/>
        <v>0</v>
      </c>
      <c r="I42" s="46">
        <v>0.37</v>
      </c>
      <c r="J42" s="457">
        <f t="shared" si="5"/>
        <v>0</v>
      </c>
      <c r="K42" s="421"/>
      <c r="L42" s="446"/>
      <c r="M42" s="421"/>
      <c r="N42" s="421"/>
      <c r="O42" s="421"/>
      <c r="P42" s="421"/>
      <c r="Q42" s="421"/>
      <c r="R42" s="422">
        <f>K42*'Grundlagen Anfall'!F35+L42*'Grundlagen Anfall'!G35+N42*'Grundlagen Anfall'!J35+O42*'Grundlagen Anfall'!L35+P42*'Grundlagen Anfall'!N35</f>
        <v>0</v>
      </c>
      <c r="S42" s="423">
        <f>L42*'Grundlagen Anfall'!H35+M42*'Grundlagen Anfall'!I35+N42*'Grundlagen Anfall'!K35+O42*'Grundlagen Anfall'!M35+P42*'Grundlagen Anfall'!O35</f>
        <v>0</v>
      </c>
    </row>
    <row r="43" spans="1:25" ht="15.75" customHeight="1">
      <c r="A43" s="424" t="s">
        <v>40</v>
      </c>
      <c r="B43" s="455"/>
      <c r="C43" s="455"/>
      <c r="D43" s="455"/>
      <c r="E43" s="455"/>
      <c r="F43" s="458"/>
      <c r="G43" s="45" t="s">
        <v>5</v>
      </c>
      <c r="H43" s="456">
        <f t="shared" si="6"/>
        <v>0</v>
      </c>
      <c r="I43" s="46">
        <v>0.17</v>
      </c>
      <c r="J43" s="457">
        <f t="shared" si="5"/>
        <v>0</v>
      </c>
      <c r="K43" s="421"/>
      <c r="L43" s="446"/>
      <c r="M43" s="421"/>
      <c r="N43" s="421"/>
      <c r="O43" s="421"/>
      <c r="P43" s="421"/>
      <c r="Q43" s="421"/>
      <c r="R43" s="422">
        <f>K43*'Grundlagen Anfall'!F36+L43*'Grundlagen Anfall'!G36+N43*'Grundlagen Anfall'!J36+O43*'Grundlagen Anfall'!L36+P43*'Grundlagen Anfall'!N36</f>
        <v>0</v>
      </c>
      <c r="S43" s="423">
        <f>L43*'Grundlagen Anfall'!H36+M43*'Grundlagen Anfall'!I36+N43*'Grundlagen Anfall'!K36+O43*'Grundlagen Anfall'!M36+P43*'Grundlagen Anfall'!O36</f>
        <v>0</v>
      </c>
    </row>
    <row r="44" spans="1:25" ht="15.75" customHeight="1">
      <c r="A44" s="424" t="s">
        <v>41</v>
      </c>
      <c r="B44" s="455"/>
      <c r="C44" s="455"/>
      <c r="D44" s="455"/>
      <c r="E44" s="455"/>
      <c r="F44" s="458"/>
      <c r="G44" s="45" t="s">
        <v>5</v>
      </c>
      <c r="H44" s="456">
        <f t="shared" si="6"/>
        <v>0</v>
      </c>
      <c r="I44" s="46">
        <v>0.3</v>
      </c>
      <c r="J44" s="457">
        <f t="shared" si="5"/>
        <v>0</v>
      </c>
      <c r="K44" s="421"/>
      <c r="L44" s="446"/>
      <c r="M44" s="421"/>
      <c r="N44" s="421"/>
      <c r="O44" s="421"/>
      <c r="P44" s="421"/>
      <c r="Q44" s="421"/>
      <c r="R44" s="422">
        <f>K44*'Grundlagen Anfall'!F37+L44*'Grundlagen Anfall'!G37+N44*'Grundlagen Anfall'!J37+O44*'Grundlagen Anfall'!L37+P44*'Grundlagen Anfall'!N37</f>
        <v>0</v>
      </c>
      <c r="S44" s="423">
        <f>L44*'Grundlagen Anfall'!H37+M44*'Grundlagen Anfall'!I37+N44*'Grundlagen Anfall'!K37+O44*'Grundlagen Anfall'!M37+P44*'Grundlagen Anfall'!O37</f>
        <v>0</v>
      </c>
    </row>
    <row r="45" spans="1:25" ht="15.75" customHeight="1">
      <c r="A45" s="424" t="s">
        <v>169</v>
      </c>
      <c r="B45" s="455"/>
      <c r="C45" s="455"/>
      <c r="D45" s="455"/>
      <c r="E45" s="455"/>
      <c r="F45" s="459"/>
      <c r="G45" s="45" t="s">
        <v>5</v>
      </c>
      <c r="H45" s="456">
        <f t="shared" si="6"/>
        <v>0</v>
      </c>
      <c r="I45" s="46">
        <v>0.4</v>
      </c>
      <c r="J45" s="457">
        <f t="shared" ref="J45:J52" si="7">H45*I45</f>
        <v>0</v>
      </c>
      <c r="K45" s="421"/>
      <c r="L45" s="446"/>
      <c r="M45" s="421"/>
      <c r="N45" s="421"/>
      <c r="O45" s="421"/>
      <c r="P45" s="421"/>
      <c r="Q45" s="421"/>
      <c r="R45" s="422">
        <f>K45*'Grundlagen Anfall'!F38+L45*'Grundlagen Anfall'!G38+N45*'Grundlagen Anfall'!J38+O45*'Grundlagen Anfall'!L38+P45*'Grundlagen Anfall'!N38</f>
        <v>0</v>
      </c>
      <c r="S45" s="423">
        <f>L45*'Grundlagen Anfall'!H38+M45*'Grundlagen Anfall'!I38+N45*'Grundlagen Anfall'!K38+O45*'Grundlagen Anfall'!M38+P45*'Grundlagen Anfall'!O38</f>
        <v>0</v>
      </c>
    </row>
    <row r="46" spans="1:25" ht="15.75" customHeight="1">
      <c r="A46" s="424" t="s">
        <v>166</v>
      </c>
      <c r="B46" s="455"/>
      <c r="C46" s="455"/>
      <c r="D46" s="455"/>
      <c r="E46" s="455"/>
      <c r="F46" s="459"/>
      <c r="G46" s="45" t="s">
        <v>5</v>
      </c>
      <c r="H46" s="456">
        <f t="shared" si="6"/>
        <v>0</v>
      </c>
      <c r="I46" s="46">
        <v>0.4</v>
      </c>
      <c r="J46" s="457">
        <f>H46*I46</f>
        <v>0</v>
      </c>
      <c r="K46" s="421"/>
      <c r="L46" s="446"/>
      <c r="M46" s="421"/>
      <c r="N46" s="421"/>
      <c r="O46" s="421"/>
      <c r="P46" s="421"/>
      <c r="Q46" s="421"/>
      <c r="R46" s="422">
        <f>K46*'Grundlagen Anfall'!F39+L46*'Grundlagen Anfall'!G39+N46*'Grundlagen Anfall'!J39+O46*'Grundlagen Anfall'!L39+P46*'Grundlagen Anfall'!N39</f>
        <v>0</v>
      </c>
      <c r="S46" s="423">
        <f>L46*'Grundlagen Anfall'!H39+M46*'Grundlagen Anfall'!I39+N46*'Grundlagen Anfall'!K39+O46*'Grundlagen Anfall'!M39+P46*'Grundlagen Anfall'!O39</f>
        <v>0</v>
      </c>
    </row>
    <row r="47" spans="1:25" ht="15.75" customHeight="1">
      <c r="A47" s="424" t="s">
        <v>43</v>
      </c>
      <c r="B47" s="455"/>
      <c r="C47" s="455"/>
      <c r="D47" s="455"/>
      <c r="E47" s="455"/>
      <c r="F47" s="459"/>
      <c r="G47" s="45" t="s">
        <v>5</v>
      </c>
      <c r="H47" s="456">
        <f t="shared" si="6"/>
        <v>0</v>
      </c>
      <c r="I47" s="46">
        <v>0.36</v>
      </c>
      <c r="J47" s="457">
        <f t="shared" si="7"/>
        <v>0</v>
      </c>
      <c r="K47" s="421"/>
      <c r="L47" s="446"/>
      <c r="M47" s="421"/>
      <c r="N47" s="421"/>
      <c r="O47" s="421"/>
      <c r="P47" s="421"/>
      <c r="Q47" s="421"/>
      <c r="R47" s="422">
        <f>K47*'Grundlagen Anfall'!F40+L47*'Grundlagen Anfall'!G40+N47*'Grundlagen Anfall'!J40+O47*'Grundlagen Anfall'!L40+P47*'Grundlagen Anfall'!N40</f>
        <v>0</v>
      </c>
      <c r="S47" s="423">
        <f>L47*'Grundlagen Anfall'!H40+M47*'Grundlagen Anfall'!I40+N47*'Grundlagen Anfall'!K40+O47*'Grundlagen Anfall'!M40+P47*'Grundlagen Anfall'!O40</f>
        <v>0</v>
      </c>
    </row>
    <row r="48" spans="1:25" ht="15.75" customHeight="1">
      <c r="A48" s="424" t="s">
        <v>44</v>
      </c>
      <c r="B48" s="455"/>
      <c r="C48" s="455"/>
      <c r="D48" s="455"/>
      <c r="E48" s="455"/>
      <c r="F48" s="459"/>
      <c r="G48" s="45" t="s">
        <v>5</v>
      </c>
      <c r="H48" s="456">
        <f t="shared" si="6"/>
        <v>0</v>
      </c>
      <c r="I48" s="46">
        <v>0.23</v>
      </c>
      <c r="J48" s="457">
        <f>H48*I48</f>
        <v>0</v>
      </c>
      <c r="K48" s="421"/>
      <c r="L48" s="446"/>
      <c r="M48" s="421"/>
      <c r="N48" s="421"/>
      <c r="O48" s="421"/>
      <c r="P48" s="421"/>
      <c r="Q48" s="421"/>
      <c r="R48" s="422">
        <f>K48*'Grundlagen Anfall'!F41+L48*'Grundlagen Anfall'!G41+N48*'Grundlagen Anfall'!J41+O48*'Grundlagen Anfall'!L41+P48*'Grundlagen Anfall'!N41</f>
        <v>0</v>
      </c>
      <c r="S48" s="423">
        <f>L48*'Grundlagen Anfall'!H41+M48*'Grundlagen Anfall'!I41+N48*'Grundlagen Anfall'!K41+O48*'Grundlagen Anfall'!M41+P48*'Grundlagen Anfall'!O41</f>
        <v>0</v>
      </c>
    </row>
    <row r="49" spans="1:25" ht="15.75" customHeight="1">
      <c r="A49" s="424" t="s">
        <v>47</v>
      </c>
      <c r="B49" s="455"/>
      <c r="C49" s="455"/>
      <c r="D49" s="455"/>
      <c r="E49" s="455"/>
      <c r="F49" s="459"/>
      <c r="G49" s="45" t="s">
        <v>1</v>
      </c>
      <c r="H49" s="456">
        <f t="shared" si="6"/>
        <v>0</v>
      </c>
      <c r="I49" s="46">
        <v>0.17</v>
      </c>
      <c r="J49" s="457">
        <f t="shared" si="7"/>
        <v>0</v>
      </c>
      <c r="K49" s="421"/>
      <c r="L49" s="446"/>
      <c r="M49" s="421"/>
      <c r="N49" s="421"/>
      <c r="O49" s="421"/>
      <c r="P49" s="421"/>
      <c r="Q49" s="421"/>
      <c r="R49" s="422">
        <f>K49*'Grundlagen Anfall'!F42+L49*'Grundlagen Anfall'!G42+N49*'Grundlagen Anfall'!J42+O49*'Grundlagen Anfall'!L42+P49*'Grundlagen Anfall'!N42</f>
        <v>0</v>
      </c>
      <c r="S49" s="423">
        <f>L49*'Grundlagen Anfall'!H42+M49*'Grundlagen Anfall'!I42+N49*'Grundlagen Anfall'!K42+O49*'Grundlagen Anfall'!M42+P49*'Grundlagen Anfall'!O42</f>
        <v>0</v>
      </c>
    </row>
    <row r="50" spans="1:25" ht="15.75" customHeight="1">
      <c r="A50" s="424" t="s">
        <v>45</v>
      </c>
      <c r="B50" s="455"/>
      <c r="C50" s="455"/>
      <c r="D50" s="455"/>
      <c r="E50" s="455"/>
      <c r="F50" s="458"/>
      <c r="G50" s="45" t="s">
        <v>5</v>
      </c>
      <c r="H50" s="456">
        <f t="shared" si="6"/>
        <v>0</v>
      </c>
      <c r="I50" s="46">
        <v>0.5</v>
      </c>
      <c r="J50" s="457">
        <f>H50*I50</f>
        <v>0</v>
      </c>
      <c r="K50" s="421"/>
      <c r="L50" s="446"/>
      <c r="M50" s="421"/>
      <c r="N50" s="421"/>
      <c r="O50" s="421"/>
      <c r="P50" s="421"/>
      <c r="Q50" s="421"/>
      <c r="R50" s="422">
        <f>K50*'Grundlagen Anfall'!F43+L50*'Grundlagen Anfall'!G43+N50*'Grundlagen Anfall'!J43+O50*'Grundlagen Anfall'!L43+P50*'Grundlagen Anfall'!N43</f>
        <v>0</v>
      </c>
      <c r="S50" s="423">
        <f>L50*'Grundlagen Anfall'!H43+M50*'Grundlagen Anfall'!I43+N50*'Grundlagen Anfall'!K43+O50*'Grundlagen Anfall'!M43+P50*'Grundlagen Anfall'!O43</f>
        <v>0</v>
      </c>
    </row>
    <row r="51" spans="1:25" ht="15.75" customHeight="1">
      <c r="A51" s="424" t="s">
        <v>48</v>
      </c>
      <c r="B51" s="455"/>
      <c r="C51" s="455"/>
      <c r="D51" s="455"/>
      <c r="E51" s="455"/>
      <c r="F51" s="458"/>
      <c r="G51" s="45" t="s">
        <v>1</v>
      </c>
      <c r="H51" s="456">
        <f t="shared" si="6"/>
        <v>0</v>
      </c>
      <c r="I51" s="46">
        <v>0.4</v>
      </c>
      <c r="J51" s="457">
        <f>H51*I51</f>
        <v>0</v>
      </c>
      <c r="K51" s="421"/>
      <c r="L51" s="446"/>
      <c r="M51" s="421"/>
      <c r="N51" s="421"/>
      <c r="O51" s="421"/>
      <c r="P51" s="421"/>
      <c r="Q51" s="421"/>
      <c r="R51" s="422">
        <f>K51*'Grundlagen Anfall'!F44+L51*'Grundlagen Anfall'!G44+N51*'Grundlagen Anfall'!J44+O51*'Grundlagen Anfall'!L44+P51*'Grundlagen Anfall'!N44</f>
        <v>0</v>
      </c>
      <c r="S51" s="423">
        <f>L51*'Grundlagen Anfall'!H44+M51*'Grundlagen Anfall'!I44+N51*'Grundlagen Anfall'!K44+O51*'Grundlagen Anfall'!M44+P51*'Grundlagen Anfall'!O44</f>
        <v>0</v>
      </c>
    </row>
    <row r="52" spans="1:25" ht="15.75" customHeight="1" thickBot="1">
      <c r="A52" s="425" t="s">
        <v>8</v>
      </c>
      <c r="B52" s="758"/>
      <c r="C52" s="759"/>
      <c r="D52" s="759"/>
      <c r="E52" s="759"/>
      <c r="F52" s="760"/>
      <c r="G52" s="426"/>
      <c r="H52" s="460">
        <f>SUM(K52:Q52)</f>
        <v>0</v>
      </c>
      <c r="I52" s="428"/>
      <c r="J52" s="448">
        <f t="shared" si="7"/>
        <v>0</v>
      </c>
      <c r="K52" s="430"/>
      <c r="L52" s="430"/>
      <c r="M52" s="430"/>
      <c r="N52" s="430"/>
      <c r="O52" s="430"/>
      <c r="P52" s="430"/>
      <c r="Q52" s="429"/>
      <c r="R52" s="431"/>
      <c r="S52" s="432"/>
    </row>
    <row r="53" spans="1:25" ht="18" customHeight="1" thickBot="1">
      <c r="A53" s="433"/>
      <c r="B53" s="433"/>
      <c r="C53" s="433"/>
      <c r="D53" s="433"/>
      <c r="E53" s="434"/>
      <c r="F53" s="433"/>
      <c r="G53" s="435"/>
      <c r="H53" s="452">
        <f>SUM(H34:H52)</f>
        <v>0</v>
      </c>
      <c r="I53" s="623">
        <f>SUM(K53:Q53)</f>
        <v>0</v>
      </c>
      <c r="J53" s="436">
        <f t="shared" ref="J53:S53" si="8">SUM(J34:J52)</f>
        <v>0</v>
      </c>
      <c r="K53" s="437">
        <f t="shared" si="8"/>
        <v>0</v>
      </c>
      <c r="L53" s="437">
        <f t="shared" si="8"/>
        <v>0</v>
      </c>
      <c r="M53" s="437">
        <f t="shared" si="8"/>
        <v>0</v>
      </c>
      <c r="N53" s="437">
        <f t="shared" si="8"/>
        <v>0</v>
      </c>
      <c r="O53" s="437">
        <f t="shared" si="8"/>
        <v>0</v>
      </c>
      <c r="P53" s="437">
        <f t="shared" si="8"/>
        <v>0</v>
      </c>
      <c r="Q53" s="437">
        <f t="shared" si="8"/>
        <v>0</v>
      </c>
      <c r="R53" s="438">
        <f t="shared" si="8"/>
        <v>0</v>
      </c>
      <c r="S53" s="439">
        <f t="shared" si="8"/>
        <v>0</v>
      </c>
    </row>
    <row r="54" spans="1:25" ht="12" customHeight="1" thickBot="1"/>
    <row r="55" spans="1:25" ht="21" customHeight="1">
      <c r="A55" s="406" t="s">
        <v>146</v>
      </c>
      <c r="B55" s="407"/>
      <c r="C55" s="407"/>
      <c r="D55" s="407"/>
      <c r="E55" s="407"/>
      <c r="F55" s="407"/>
      <c r="G55" s="408"/>
      <c r="H55" s="409"/>
      <c r="I55" s="410"/>
      <c r="J55" s="411"/>
      <c r="K55" s="409"/>
      <c r="L55" s="409"/>
      <c r="M55" s="412"/>
      <c r="N55" s="409"/>
      <c r="O55" s="409"/>
      <c r="P55" s="409"/>
      <c r="Q55" s="409"/>
      <c r="R55" s="413"/>
      <c r="S55" s="414"/>
      <c r="U55" s="29"/>
      <c r="V55" s="29"/>
      <c r="W55" s="28"/>
      <c r="X55" s="29"/>
      <c r="Y55" s="28"/>
    </row>
    <row r="56" spans="1:25" ht="15.75" customHeight="1">
      <c r="A56" s="424" t="s">
        <v>49</v>
      </c>
      <c r="B56" s="55"/>
      <c r="C56" s="55"/>
      <c r="D56" s="55"/>
      <c r="E56" s="55"/>
      <c r="F56" s="55"/>
      <c r="G56" s="45" t="s">
        <v>5</v>
      </c>
      <c r="H56" s="418">
        <f>SUM(K56:Q56)</f>
        <v>0</v>
      </c>
      <c r="I56" s="46">
        <v>0.2</v>
      </c>
      <c r="J56" s="419">
        <f>H56*I56</f>
        <v>0</v>
      </c>
      <c r="K56" s="461"/>
      <c r="L56" s="461"/>
      <c r="M56" s="462"/>
      <c r="N56" s="461"/>
      <c r="O56" s="461"/>
      <c r="P56" s="463"/>
      <c r="Q56" s="464"/>
      <c r="R56" s="422">
        <f>K56*'Grundlagen Anfall'!F49+L56*'Grundlagen Anfall'!G49+N56*'Grundlagen Anfall'!J49+O56*'Grundlagen Anfall'!L49+P56*'Grundlagen Anfall'!N49</f>
        <v>0</v>
      </c>
      <c r="S56" s="423">
        <f>L56*'Grundlagen Anfall'!H49+M56*'Grundlagen Anfall'!I49+N56*'Grundlagen Anfall'!K49+O56*'Grundlagen Anfall'!M49+P56*'Grundlagen Anfall'!O49</f>
        <v>0</v>
      </c>
    </row>
    <row r="57" spans="1:25" ht="15.75" customHeight="1">
      <c r="A57" s="424" t="s">
        <v>144</v>
      </c>
      <c r="B57" s="55"/>
      <c r="C57" s="55"/>
      <c r="D57" s="55"/>
      <c r="E57" s="55"/>
      <c r="F57" s="55"/>
      <c r="G57" s="45" t="s">
        <v>5</v>
      </c>
      <c r="H57" s="418">
        <f t="shared" ref="H57:H62" si="9">SUM(K57:Q57)</f>
        <v>0</v>
      </c>
      <c r="I57" s="46">
        <v>0.17</v>
      </c>
      <c r="J57" s="419">
        <f t="shared" ref="J57:J62" si="10">H57*I57</f>
        <v>0</v>
      </c>
      <c r="K57" s="465"/>
      <c r="L57" s="465"/>
      <c r="M57" s="466"/>
      <c r="N57" s="465"/>
      <c r="O57" s="465"/>
      <c r="P57" s="467"/>
      <c r="Q57" s="468"/>
      <c r="R57" s="422">
        <f>K57*'Grundlagen Anfall'!F50+L57*'Grundlagen Anfall'!G50+N57*'Grundlagen Anfall'!J50+O57*'Grundlagen Anfall'!L50+P57*'Grundlagen Anfall'!N50</f>
        <v>0</v>
      </c>
      <c r="S57" s="423">
        <f>L57*'Grundlagen Anfall'!H50+M57*'Grundlagen Anfall'!I50+N57*'Grundlagen Anfall'!K50+O57*'Grundlagen Anfall'!M50+P57*'Grundlagen Anfall'!O50</f>
        <v>0</v>
      </c>
    </row>
    <row r="58" spans="1:25" ht="15.75" customHeight="1">
      <c r="A58" s="424" t="s">
        <v>51</v>
      </c>
      <c r="B58" s="55"/>
      <c r="C58" s="55"/>
      <c r="D58" s="55"/>
      <c r="E58" s="55"/>
      <c r="F58" s="55"/>
      <c r="G58" s="45" t="s">
        <v>5</v>
      </c>
      <c r="H58" s="418">
        <f t="shared" si="9"/>
        <v>0</v>
      </c>
      <c r="I58" s="46">
        <v>0.17</v>
      </c>
      <c r="J58" s="419">
        <f t="shared" si="10"/>
        <v>0</v>
      </c>
      <c r="K58" s="465"/>
      <c r="L58" s="465"/>
      <c r="M58" s="466"/>
      <c r="N58" s="465"/>
      <c r="O58" s="465"/>
      <c r="P58" s="467"/>
      <c r="Q58" s="468"/>
      <c r="R58" s="422">
        <f>K58*'Grundlagen Anfall'!F51+L58*'Grundlagen Anfall'!G51+N58*'Grundlagen Anfall'!J51+O58*'Grundlagen Anfall'!L51+P58*'Grundlagen Anfall'!N51</f>
        <v>0</v>
      </c>
      <c r="S58" s="423">
        <f>L58*'Grundlagen Anfall'!H51+M58*'Grundlagen Anfall'!I51+N58*'Grundlagen Anfall'!K51+O58*'Grundlagen Anfall'!M51+P58*'Grundlagen Anfall'!O51</f>
        <v>0</v>
      </c>
    </row>
    <row r="59" spans="1:25" ht="15.75" customHeight="1">
      <c r="A59" s="424" t="s">
        <v>50</v>
      </c>
      <c r="B59" s="55"/>
      <c r="C59" s="55"/>
      <c r="D59" s="55"/>
      <c r="E59" s="55"/>
      <c r="F59" s="55"/>
      <c r="G59" s="45" t="s">
        <v>5</v>
      </c>
      <c r="H59" s="418">
        <f t="shared" si="9"/>
        <v>0</v>
      </c>
      <c r="I59" s="46">
        <v>0.25</v>
      </c>
      <c r="J59" s="419">
        <f t="shared" si="10"/>
        <v>0</v>
      </c>
      <c r="K59" s="465"/>
      <c r="L59" s="465"/>
      <c r="M59" s="466"/>
      <c r="N59" s="465"/>
      <c r="O59" s="465"/>
      <c r="P59" s="467"/>
      <c r="Q59" s="468"/>
      <c r="R59" s="422">
        <f>K59*'Grundlagen Anfall'!F52+L59*'Grundlagen Anfall'!G52+N59*'Grundlagen Anfall'!J52+O59*'Grundlagen Anfall'!L52+P59*'Grundlagen Anfall'!N52</f>
        <v>0</v>
      </c>
      <c r="S59" s="423">
        <f>L59*'Grundlagen Anfall'!H52+M59*'Grundlagen Anfall'!I52+N59*'Grundlagen Anfall'!K52+O59*'Grundlagen Anfall'!M52+P59*'Grundlagen Anfall'!O52</f>
        <v>0</v>
      </c>
    </row>
    <row r="60" spans="1:25" ht="15.75" customHeight="1">
      <c r="A60" s="424" t="s">
        <v>52</v>
      </c>
      <c r="B60" s="55"/>
      <c r="C60" s="55"/>
      <c r="D60" s="55"/>
      <c r="E60" s="55"/>
      <c r="F60" s="55"/>
      <c r="G60" s="45" t="s">
        <v>1</v>
      </c>
      <c r="H60" s="418">
        <f t="shared" si="9"/>
        <v>0</v>
      </c>
      <c r="I60" s="46">
        <v>0.03</v>
      </c>
      <c r="J60" s="419">
        <f t="shared" si="10"/>
        <v>0</v>
      </c>
      <c r="K60" s="465"/>
      <c r="L60" s="465"/>
      <c r="M60" s="466"/>
      <c r="N60" s="465"/>
      <c r="O60" s="465"/>
      <c r="P60" s="467"/>
      <c r="Q60" s="468"/>
      <c r="R60" s="422">
        <f>K60*'Grundlagen Anfall'!F53+L60*'Grundlagen Anfall'!G53+N60*'Grundlagen Anfall'!J53+O60*'Grundlagen Anfall'!L53+P60*'Grundlagen Anfall'!N53</f>
        <v>0</v>
      </c>
      <c r="S60" s="423">
        <f>L60*'Grundlagen Anfall'!H53+M60*'Grundlagen Anfall'!I53+N60*'Grundlagen Anfall'!K53+O60*'Grundlagen Anfall'!M53+P60*'Grundlagen Anfall'!O53</f>
        <v>0</v>
      </c>
    </row>
    <row r="61" spans="1:25" ht="15.75" customHeight="1">
      <c r="A61" s="469" t="s">
        <v>145</v>
      </c>
      <c r="B61" s="470"/>
      <c r="C61" s="470"/>
      <c r="D61" s="470"/>
      <c r="E61" s="470"/>
      <c r="F61" s="470"/>
      <c r="G61" s="471" t="s">
        <v>5</v>
      </c>
      <c r="H61" s="418">
        <f t="shared" si="9"/>
        <v>0</v>
      </c>
      <c r="I61" s="472">
        <v>0.17</v>
      </c>
      <c r="J61" s="419">
        <f t="shared" si="10"/>
        <v>0</v>
      </c>
      <c r="K61" s="465"/>
      <c r="L61" s="465"/>
      <c r="M61" s="466"/>
      <c r="N61" s="465"/>
      <c r="O61" s="465"/>
      <c r="P61" s="467"/>
      <c r="Q61" s="468"/>
      <c r="R61" s="422">
        <f>K61*'Grundlagen Anfall'!F54+L61*'Grundlagen Anfall'!G54+N61*'Grundlagen Anfall'!J54+O61*'Grundlagen Anfall'!L54+P61*'Grundlagen Anfall'!N54</f>
        <v>0</v>
      </c>
      <c r="S61" s="423">
        <f>L61*'Grundlagen Anfall'!H54+M61*'Grundlagen Anfall'!I54+N61*'Grundlagen Anfall'!K54+O61*'Grundlagen Anfall'!M54+P61*'Grundlagen Anfall'!O54</f>
        <v>0</v>
      </c>
    </row>
    <row r="62" spans="1:25" ht="15.75" customHeight="1" thickBot="1">
      <c r="A62" s="473" t="s">
        <v>8</v>
      </c>
      <c r="B62" s="758"/>
      <c r="C62" s="758"/>
      <c r="D62" s="758"/>
      <c r="E62" s="758"/>
      <c r="F62" s="768"/>
      <c r="G62" s="474"/>
      <c r="H62" s="418">
        <f t="shared" si="9"/>
        <v>0</v>
      </c>
      <c r="I62" s="428"/>
      <c r="J62" s="419">
        <f t="shared" si="10"/>
        <v>0</v>
      </c>
      <c r="K62" s="449"/>
      <c r="L62" s="450"/>
      <c r="M62" s="449"/>
      <c r="N62" s="449"/>
      <c r="O62" s="450"/>
      <c r="P62" s="449"/>
      <c r="Q62" s="449"/>
      <c r="R62" s="451"/>
      <c r="S62" s="432"/>
    </row>
    <row r="63" spans="1:25" ht="18" customHeight="1" thickBot="1">
      <c r="A63" s="433"/>
      <c r="B63" s="433"/>
      <c r="C63" s="433"/>
      <c r="D63" s="433"/>
      <c r="E63" s="434"/>
      <c r="F63" s="433"/>
      <c r="G63" s="435"/>
      <c r="H63" s="452">
        <f>SUM(H56:H62)</f>
        <v>0</v>
      </c>
      <c r="I63" s="623">
        <f>SUM(K63:Q63)</f>
        <v>0</v>
      </c>
      <c r="J63" s="436">
        <f>SUM(J56:J62)</f>
        <v>0</v>
      </c>
      <c r="K63" s="437">
        <f>SUM(K56:K62)</f>
        <v>0</v>
      </c>
      <c r="L63" s="437">
        <f t="shared" ref="L63:S63" si="11">SUM(L56:L62)</f>
        <v>0</v>
      </c>
      <c r="M63" s="437">
        <f t="shared" si="11"/>
        <v>0</v>
      </c>
      <c r="N63" s="437">
        <f t="shared" si="11"/>
        <v>0</v>
      </c>
      <c r="O63" s="437">
        <f t="shared" si="11"/>
        <v>0</v>
      </c>
      <c r="P63" s="437">
        <f t="shared" si="11"/>
        <v>0</v>
      </c>
      <c r="Q63" s="437">
        <f t="shared" si="11"/>
        <v>0</v>
      </c>
      <c r="R63" s="438">
        <f t="shared" si="11"/>
        <v>0</v>
      </c>
      <c r="S63" s="439">
        <f t="shared" si="11"/>
        <v>0</v>
      </c>
    </row>
    <row r="64" spans="1:25" ht="12" customHeight="1"/>
    <row r="65" spans="1:25" ht="15" customHeight="1"/>
    <row r="66" spans="1:25" ht="15" customHeight="1"/>
    <row r="67" spans="1:25" ht="12" customHeight="1" thickBot="1"/>
    <row r="68" spans="1:25" ht="21" customHeight="1">
      <c r="A68" s="406" t="s">
        <v>147</v>
      </c>
      <c r="B68" s="407"/>
      <c r="C68" s="407"/>
      <c r="D68" s="407"/>
      <c r="E68" s="407"/>
      <c r="F68" s="407"/>
      <c r="G68" s="408"/>
      <c r="H68" s="409"/>
      <c r="I68" s="410"/>
      <c r="J68" s="411"/>
      <c r="K68" s="409"/>
      <c r="L68" s="409"/>
      <c r="M68" s="412"/>
      <c r="N68" s="409"/>
      <c r="O68" s="409"/>
      <c r="P68" s="409"/>
      <c r="Q68" s="409"/>
      <c r="R68" s="413"/>
      <c r="S68" s="414"/>
      <c r="U68" s="29"/>
      <c r="V68" s="29"/>
      <c r="W68" s="28"/>
      <c r="X68" s="29"/>
      <c r="Y68" s="28"/>
    </row>
    <row r="69" spans="1:25" ht="15.75" customHeight="1">
      <c r="A69" s="424" t="s">
        <v>53</v>
      </c>
      <c r="B69" s="55"/>
      <c r="C69" s="55"/>
      <c r="D69" s="55"/>
      <c r="E69" s="55"/>
      <c r="F69" s="55"/>
      <c r="G69" s="45" t="s">
        <v>1</v>
      </c>
      <c r="H69" s="418">
        <f t="shared" ref="H69:H74" si="12">SUM(K69:Q69)</f>
        <v>0</v>
      </c>
      <c r="I69" s="46">
        <v>0.4</v>
      </c>
      <c r="J69" s="419">
        <f t="shared" ref="J69:J74" si="13">H69*I69</f>
        <v>0</v>
      </c>
      <c r="K69" s="461"/>
      <c r="L69" s="462"/>
      <c r="M69" s="462"/>
      <c r="N69" s="461"/>
      <c r="O69" s="461"/>
      <c r="P69" s="475"/>
      <c r="Q69" s="464"/>
      <c r="R69" s="422">
        <f>K69*'Grundlagen Anfall'!F59+L69*'Grundlagen Anfall'!G59+N69*'Grundlagen Anfall'!J59+O69*'Grundlagen Anfall'!L59+P69*'Grundlagen Anfall'!N59</f>
        <v>0</v>
      </c>
      <c r="S69" s="423">
        <f>L69*'Grundlagen Anfall'!H59+M69*'Grundlagen Anfall'!I59+N69*'Grundlagen Anfall'!K59+O69*'Grundlagen Anfall'!M59+P69*'Grundlagen Anfall'!O59</f>
        <v>0</v>
      </c>
    </row>
    <row r="70" spans="1:25" ht="15.75" customHeight="1">
      <c r="A70" s="424" t="s">
        <v>54</v>
      </c>
      <c r="B70" s="55"/>
      <c r="C70" s="55"/>
      <c r="D70" s="55"/>
      <c r="E70" s="55"/>
      <c r="F70" s="55"/>
      <c r="G70" s="45" t="s">
        <v>1</v>
      </c>
      <c r="H70" s="418">
        <f t="shared" si="12"/>
        <v>0</v>
      </c>
      <c r="I70" s="46">
        <v>0.25</v>
      </c>
      <c r="J70" s="457">
        <f t="shared" si="13"/>
        <v>0</v>
      </c>
      <c r="K70" s="465"/>
      <c r="L70" s="466"/>
      <c r="M70" s="466"/>
      <c r="N70" s="465"/>
      <c r="O70" s="465"/>
      <c r="P70" s="476"/>
      <c r="Q70" s="468"/>
      <c r="R70" s="422">
        <f>K70*'Grundlagen Anfall'!F60+L70*'Grundlagen Anfall'!G60+N70*'Grundlagen Anfall'!J60+O70*'Grundlagen Anfall'!L60+P70*'Grundlagen Anfall'!N60</f>
        <v>0</v>
      </c>
      <c r="S70" s="423">
        <f>L70*'Grundlagen Anfall'!H60+M70*'Grundlagen Anfall'!I60+N70*'Grundlagen Anfall'!K60+O70*'Grundlagen Anfall'!M60+P70*'Grundlagen Anfall'!O60</f>
        <v>0</v>
      </c>
    </row>
    <row r="71" spans="1:25" ht="15.75" customHeight="1">
      <c r="A71" s="424" t="s">
        <v>9</v>
      </c>
      <c r="B71" s="55"/>
      <c r="C71" s="55"/>
      <c r="D71" s="55"/>
      <c r="E71" s="55"/>
      <c r="F71" s="55"/>
      <c r="G71" s="45" t="s">
        <v>1</v>
      </c>
      <c r="H71" s="418">
        <f t="shared" si="12"/>
        <v>0</v>
      </c>
      <c r="I71" s="46">
        <v>0.7</v>
      </c>
      <c r="J71" s="419">
        <f t="shared" si="13"/>
        <v>0</v>
      </c>
      <c r="K71" s="465"/>
      <c r="L71" s="466"/>
      <c r="M71" s="466"/>
      <c r="N71" s="465"/>
      <c r="O71" s="465"/>
      <c r="P71" s="476"/>
      <c r="Q71" s="468"/>
      <c r="R71" s="422">
        <f>K71*'Grundlagen Anfall'!F61+L71*'Grundlagen Anfall'!G61+N71*'Grundlagen Anfall'!J61+O71*'Grundlagen Anfall'!L61+P71*'Grundlagen Anfall'!N61</f>
        <v>0</v>
      </c>
      <c r="S71" s="423">
        <f>L71*'Grundlagen Anfall'!H61+M71*'Grundlagen Anfall'!I61+N71*'Grundlagen Anfall'!K61+O71*'Grundlagen Anfall'!M61+P71*'Grundlagen Anfall'!O61</f>
        <v>0</v>
      </c>
    </row>
    <row r="72" spans="1:25" ht="15.75" customHeight="1">
      <c r="A72" s="424" t="s">
        <v>10</v>
      </c>
      <c r="B72" s="55"/>
      <c r="C72" s="55"/>
      <c r="D72" s="55"/>
      <c r="E72" s="55"/>
      <c r="F72" s="55"/>
      <c r="G72" s="45" t="s">
        <v>1</v>
      </c>
      <c r="H72" s="418">
        <f t="shared" si="12"/>
        <v>0</v>
      </c>
      <c r="I72" s="46">
        <v>1</v>
      </c>
      <c r="J72" s="419">
        <f t="shared" si="13"/>
        <v>0</v>
      </c>
      <c r="K72" s="465"/>
      <c r="L72" s="466"/>
      <c r="M72" s="466"/>
      <c r="N72" s="465"/>
      <c r="O72" s="465"/>
      <c r="P72" s="476"/>
      <c r="Q72" s="468"/>
      <c r="R72" s="422">
        <f>K72*'Grundlagen Anfall'!F62+L72*'Grundlagen Anfall'!G62+N72*'Grundlagen Anfall'!J62+O72*'Grundlagen Anfall'!L62+P72*'Grundlagen Anfall'!N62</f>
        <v>0</v>
      </c>
      <c r="S72" s="423">
        <f>L72*'Grundlagen Anfall'!H62+M72*'Grundlagen Anfall'!I62+N72*'Grundlagen Anfall'!K62+O72*'Grundlagen Anfall'!M62+P72*'Grundlagen Anfall'!O62</f>
        <v>0</v>
      </c>
    </row>
    <row r="73" spans="1:25" ht="15.75" customHeight="1">
      <c r="A73" s="424" t="s">
        <v>11</v>
      </c>
      <c r="B73" s="55"/>
      <c r="C73" s="55"/>
      <c r="D73" s="55"/>
      <c r="E73" s="55"/>
      <c r="F73" s="55"/>
      <c r="G73" s="45" t="s">
        <v>1</v>
      </c>
      <c r="H73" s="418">
        <f t="shared" si="12"/>
        <v>0</v>
      </c>
      <c r="I73" s="46">
        <v>0.5</v>
      </c>
      <c r="J73" s="419">
        <f t="shared" si="13"/>
        <v>0</v>
      </c>
      <c r="K73" s="465"/>
      <c r="L73" s="466"/>
      <c r="M73" s="466"/>
      <c r="N73" s="465"/>
      <c r="O73" s="465"/>
      <c r="P73" s="476"/>
      <c r="Q73" s="468"/>
      <c r="R73" s="422">
        <f>K73*'Grundlagen Anfall'!F63+L73*'Grundlagen Anfall'!G63+N73*'Grundlagen Anfall'!J63+O73*'Grundlagen Anfall'!L63+P73*'Grundlagen Anfall'!N63</f>
        <v>0</v>
      </c>
      <c r="S73" s="423">
        <f>L73*'Grundlagen Anfall'!H63+M73*'Grundlagen Anfall'!I63+N73*'Grundlagen Anfall'!K63+O73*'Grundlagen Anfall'!M63+P73*'Grundlagen Anfall'!O63</f>
        <v>0</v>
      </c>
    </row>
    <row r="74" spans="1:25" ht="15.75" customHeight="1" thickBot="1">
      <c r="A74" s="425" t="s">
        <v>8</v>
      </c>
      <c r="B74" s="758"/>
      <c r="C74" s="759"/>
      <c r="D74" s="759"/>
      <c r="E74" s="759"/>
      <c r="F74" s="760"/>
      <c r="G74" s="477"/>
      <c r="H74" s="418">
        <f t="shared" si="12"/>
        <v>0</v>
      </c>
      <c r="I74" s="428"/>
      <c r="J74" s="448">
        <f t="shared" si="13"/>
        <v>0</v>
      </c>
      <c r="K74" s="449"/>
      <c r="L74" s="450"/>
      <c r="M74" s="449"/>
      <c r="N74" s="449"/>
      <c r="O74" s="450"/>
      <c r="P74" s="449"/>
      <c r="Q74" s="449"/>
      <c r="R74" s="451"/>
      <c r="S74" s="432"/>
    </row>
    <row r="75" spans="1:25" ht="18" customHeight="1" thickBot="1">
      <c r="A75" s="433"/>
      <c r="B75" s="433"/>
      <c r="C75" s="433"/>
      <c r="D75" s="433"/>
      <c r="E75" s="434"/>
      <c r="F75" s="433"/>
      <c r="G75" s="435"/>
      <c r="H75" s="452">
        <f>SUM(H69:H74)</f>
        <v>0</v>
      </c>
      <c r="I75" s="623">
        <f>SUM(K75:Q75)</f>
        <v>0</v>
      </c>
      <c r="J75" s="436">
        <f>SUM(J69:J74)</f>
        <v>0</v>
      </c>
      <c r="K75" s="437">
        <f t="shared" ref="K75:S75" si="14">SUM(K69:K74)</f>
        <v>0</v>
      </c>
      <c r="L75" s="437">
        <f t="shared" si="14"/>
        <v>0</v>
      </c>
      <c r="M75" s="437">
        <f t="shared" si="14"/>
        <v>0</v>
      </c>
      <c r="N75" s="437">
        <f t="shared" si="14"/>
        <v>0</v>
      </c>
      <c r="O75" s="437">
        <f t="shared" si="14"/>
        <v>0</v>
      </c>
      <c r="P75" s="437">
        <f t="shared" si="14"/>
        <v>0</v>
      </c>
      <c r="Q75" s="437">
        <f t="shared" si="14"/>
        <v>0</v>
      </c>
      <c r="R75" s="438">
        <f t="shared" si="14"/>
        <v>0</v>
      </c>
      <c r="S75" s="439">
        <f t="shared" si="14"/>
        <v>0</v>
      </c>
    </row>
    <row r="76" spans="1:25" ht="12" customHeight="1" thickBot="1"/>
    <row r="77" spans="1:25" ht="21" customHeight="1">
      <c r="A77" s="406" t="s">
        <v>148</v>
      </c>
      <c r="B77" s="407"/>
      <c r="C77" s="407"/>
      <c r="D77" s="407"/>
      <c r="E77" s="407"/>
      <c r="F77" s="407"/>
      <c r="G77" s="408"/>
      <c r="H77" s="409"/>
      <c r="I77" s="410"/>
      <c r="J77" s="411"/>
      <c r="K77" s="409"/>
      <c r="L77" s="409"/>
      <c r="M77" s="412"/>
      <c r="N77" s="409"/>
      <c r="O77" s="409"/>
      <c r="P77" s="409"/>
      <c r="Q77" s="409"/>
      <c r="R77" s="413"/>
      <c r="S77" s="414"/>
      <c r="U77" s="29"/>
      <c r="V77" s="29"/>
      <c r="W77" s="28"/>
      <c r="X77" s="29"/>
      <c r="Y77" s="28"/>
    </row>
    <row r="78" spans="1:25" ht="15.75" customHeight="1">
      <c r="A78" s="424" t="s">
        <v>149</v>
      </c>
      <c r="B78" s="55"/>
      <c r="C78" s="55"/>
      <c r="D78" s="55"/>
      <c r="E78" s="55"/>
      <c r="F78" s="55"/>
      <c r="G78" s="45" t="s">
        <v>5</v>
      </c>
      <c r="H78" s="418">
        <f>SUM(K78:Q78)</f>
        <v>0</v>
      </c>
      <c r="I78" s="46">
        <v>0.8</v>
      </c>
      <c r="J78" s="419">
        <f t="shared" ref="J78:J88" si="15">H78*I78</f>
        <v>0</v>
      </c>
      <c r="K78" s="461"/>
      <c r="L78" s="461"/>
      <c r="M78" s="462"/>
      <c r="N78" s="461"/>
      <c r="O78" s="461"/>
      <c r="P78" s="475"/>
      <c r="Q78" s="464"/>
      <c r="R78" s="422">
        <f>K78*'Grundlagen Anfall'!F68+L78*'Grundlagen Anfall'!G68+N78*'Grundlagen Anfall'!J68+O78*'Grundlagen Anfall'!L68+P78*'Grundlagen Anfall'!N68</f>
        <v>0</v>
      </c>
      <c r="S78" s="423">
        <f>L78*'Grundlagen Anfall'!H68+M78*'Grundlagen Anfall'!I68+N78*'Grundlagen Anfall'!K68+O78*'Grundlagen Anfall'!M68+P78*'Grundlagen Anfall'!O68</f>
        <v>0</v>
      </c>
    </row>
    <row r="79" spans="1:25" ht="15.75" customHeight="1">
      <c r="A79" s="424" t="s">
        <v>150</v>
      </c>
      <c r="B79" s="55"/>
      <c r="C79" s="55"/>
      <c r="D79" s="55"/>
      <c r="E79" s="55"/>
      <c r="F79" s="55"/>
      <c r="G79" s="45" t="s">
        <v>5</v>
      </c>
      <c r="H79" s="418">
        <f t="shared" ref="H79:H88" si="16">SUM(K79:Q79)</f>
        <v>0</v>
      </c>
      <c r="I79" s="46">
        <v>0.4</v>
      </c>
      <c r="J79" s="419">
        <f t="shared" si="15"/>
        <v>0</v>
      </c>
      <c r="K79" s="465"/>
      <c r="L79" s="465"/>
      <c r="M79" s="466"/>
      <c r="N79" s="465"/>
      <c r="O79" s="465"/>
      <c r="P79" s="476"/>
      <c r="Q79" s="468"/>
      <c r="R79" s="422">
        <f>K79*'Grundlagen Anfall'!F69+L79*'Grundlagen Anfall'!G69+N79*'Grundlagen Anfall'!J69+O79*'Grundlagen Anfall'!L69+P79*'Grundlagen Anfall'!N69</f>
        <v>0</v>
      </c>
      <c r="S79" s="423">
        <f>L79*'Grundlagen Anfall'!H69+M79*'Grundlagen Anfall'!I69+N79*'Grundlagen Anfall'!K69+O79*'Grundlagen Anfall'!M69+P79*'Grundlagen Anfall'!O69</f>
        <v>0</v>
      </c>
    </row>
    <row r="80" spans="1:25" ht="15.75" customHeight="1">
      <c r="A80" s="424" t="s">
        <v>151</v>
      </c>
      <c r="B80" s="55"/>
      <c r="C80" s="55"/>
      <c r="D80" s="55"/>
      <c r="E80" s="55"/>
      <c r="F80" s="55"/>
      <c r="G80" s="45" t="s">
        <v>5</v>
      </c>
      <c r="H80" s="418">
        <f t="shared" si="16"/>
        <v>0</v>
      </c>
      <c r="I80" s="46">
        <v>0.1</v>
      </c>
      <c r="J80" s="419">
        <f t="shared" si="15"/>
        <v>0</v>
      </c>
      <c r="K80" s="465"/>
      <c r="L80" s="465"/>
      <c r="M80" s="466"/>
      <c r="N80" s="465"/>
      <c r="O80" s="465"/>
      <c r="P80" s="476"/>
      <c r="Q80" s="468"/>
      <c r="R80" s="422">
        <f>K80*'Grundlagen Anfall'!F70+L80*'Grundlagen Anfall'!G70+N80*'Grundlagen Anfall'!J70+O80*'Grundlagen Anfall'!L70+P80*'Grundlagen Anfall'!N70</f>
        <v>0</v>
      </c>
      <c r="S80" s="423">
        <f>L80*'Grundlagen Anfall'!H70+M80*'Grundlagen Anfall'!I70+N80*'Grundlagen Anfall'!K70+O80*'Grundlagen Anfall'!M70+P80*'Grundlagen Anfall'!O70</f>
        <v>0</v>
      </c>
    </row>
    <row r="81" spans="1:25" ht="15.75" customHeight="1">
      <c r="A81" s="424" t="s">
        <v>152</v>
      </c>
      <c r="B81" s="55"/>
      <c r="C81" s="55"/>
      <c r="D81" s="55"/>
      <c r="E81" s="55"/>
      <c r="F81" s="55"/>
      <c r="G81" s="45" t="s">
        <v>5</v>
      </c>
      <c r="H81" s="418">
        <f t="shared" si="16"/>
        <v>0</v>
      </c>
      <c r="I81" s="46">
        <v>0.2</v>
      </c>
      <c r="J81" s="419">
        <f t="shared" si="15"/>
        <v>0</v>
      </c>
      <c r="K81" s="465"/>
      <c r="L81" s="465"/>
      <c r="M81" s="466"/>
      <c r="N81" s="465"/>
      <c r="O81" s="465"/>
      <c r="P81" s="476"/>
      <c r="Q81" s="468"/>
      <c r="R81" s="422">
        <f>K81*'Grundlagen Anfall'!F71+L81*'Grundlagen Anfall'!G71+N81*'Grundlagen Anfall'!J71+O81*'Grundlagen Anfall'!L71+P81*'Grundlagen Anfall'!N71</f>
        <v>0</v>
      </c>
      <c r="S81" s="423">
        <f>L81*'Grundlagen Anfall'!H71+M81*'Grundlagen Anfall'!I71+N81*'Grundlagen Anfall'!K71+O81*'Grundlagen Anfall'!M71+P81*'Grundlagen Anfall'!O71</f>
        <v>0</v>
      </c>
    </row>
    <row r="82" spans="1:25" ht="15.75" customHeight="1">
      <c r="A82" s="424" t="s">
        <v>153</v>
      </c>
      <c r="B82" s="55"/>
      <c r="C82" s="55"/>
      <c r="D82" s="55"/>
      <c r="E82" s="55"/>
      <c r="F82" s="55"/>
      <c r="G82" s="45" t="s">
        <v>5</v>
      </c>
      <c r="H82" s="418">
        <f t="shared" si="16"/>
        <v>0</v>
      </c>
      <c r="I82" s="46">
        <v>0.17</v>
      </c>
      <c r="J82" s="419">
        <f t="shared" si="15"/>
        <v>0</v>
      </c>
      <c r="K82" s="465"/>
      <c r="L82" s="465"/>
      <c r="M82" s="466"/>
      <c r="N82" s="465"/>
      <c r="O82" s="465"/>
      <c r="P82" s="476"/>
      <c r="Q82" s="468"/>
      <c r="R82" s="422">
        <f>K82*'Grundlagen Anfall'!F72+L82*'Grundlagen Anfall'!G72+N82*'Grundlagen Anfall'!J72+O82*'Grundlagen Anfall'!L72+P82*'Grundlagen Anfall'!N72</f>
        <v>0</v>
      </c>
      <c r="S82" s="423">
        <f>L82*'Grundlagen Anfall'!H72+M82*'Grundlagen Anfall'!I72+N82*'Grundlagen Anfall'!K72+O82*'Grundlagen Anfall'!M72+P82*'Grundlagen Anfall'!O72</f>
        <v>0</v>
      </c>
    </row>
    <row r="83" spans="1:25" ht="15.75" customHeight="1">
      <c r="A83" s="424" t="s">
        <v>154</v>
      </c>
      <c r="B83" s="55"/>
      <c r="C83" s="55"/>
      <c r="D83" s="55"/>
      <c r="E83" s="55"/>
      <c r="F83" s="55"/>
      <c r="G83" s="45" t="s">
        <v>5</v>
      </c>
      <c r="H83" s="418">
        <f t="shared" si="16"/>
        <v>0</v>
      </c>
      <c r="I83" s="46">
        <v>0.11</v>
      </c>
      <c r="J83" s="419">
        <f t="shared" si="15"/>
        <v>0</v>
      </c>
      <c r="K83" s="465"/>
      <c r="L83" s="465"/>
      <c r="M83" s="466"/>
      <c r="N83" s="465"/>
      <c r="O83" s="465"/>
      <c r="P83" s="476"/>
      <c r="Q83" s="468"/>
      <c r="R83" s="422">
        <f>K83*'Grundlagen Anfall'!F73+L83*'Grundlagen Anfall'!G73+N83*'Grundlagen Anfall'!J73+O83*'Grundlagen Anfall'!L73+P83*'Grundlagen Anfall'!N73</f>
        <v>0</v>
      </c>
      <c r="S83" s="423">
        <f>L83*'Grundlagen Anfall'!H73+M83*'Grundlagen Anfall'!I73+N83*'Grundlagen Anfall'!K73+O83*'Grundlagen Anfall'!M73+P83*'Grundlagen Anfall'!O73</f>
        <v>0</v>
      </c>
    </row>
    <row r="84" spans="1:25" ht="15.75" customHeight="1">
      <c r="A84" s="424" t="s">
        <v>155</v>
      </c>
      <c r="B84" s="55"/>
      <c r="C84" s="55"/>
      <c r="D84" s="55"/>
      <c r="E84" s="55"/>
      <c r="F84" s="55"/>
      <c r="G84" s="45" t="s">
        <v>5</v>
      </c>
      <c r="H84" s="418">
        <f t="shared" si="16"/>
        <v>0</v>
      </c>
      <c r="I84" s="46">
        <v>0.11</v>
      </c>
      <c r="J84" s="419">
        <f t="shared" si="15"/>
        <v>0</v>
      </c>
      <c r="K84" s="465"/>
      <c r="L84" s="465"/>
      <c r="M84" s="466"/>
      <c r="N84" s="465"/>
      <c r="O84" s="465"/>
      <c r="P84" s="476"/>
      <c r="Q84" s="468"/>
      <c r="R84" s="422">
        <f>K84*'Grundlagen Anfall'!F74+L84*'Grundlagen Anfall'!G74+N84*'Grundlagen Anfall'!J74+O84*'Grundlagen Anfall'!L74+P84*'Grundlagen Anfall'!N74</f>
        <v>0</v>
      </c>
      <c r="S84" s="423">
        <f>L84*'Grundlagen Anfall'!H74+M84*'Grundlagen Anfall'!I74+N84*'Grundlagen Anfall'!K74+O84*'Grundlagen Anfall'!M74+P84*'Grundlagen Anfall'!O74</f>
        <v>0</v>
      </c>
    </row>
    <row r="85" spans="1:25" ht="15.75" customHeight="1">
      <c r="A85" s="424" t="s">
        <v>156</v>
      </c>
      <c r="B85" s="55"/>
      <c r="C85" s="55"/>
      <c r="D85" s="55"/>
      <c r="E85" s="55"/>
      <c r="F85" s="55"/>
      <c r="G85" s="45" t="s">
        <v>5</v>
      </c>
      <c r="H85" s="418">
        <f t="shared" si="16"/>
        <v>0</v>
      </c>
      <c r="I85" s="46">
        <v>7.0000000000000007E-2</v>
      </c>
      <c r="J85" s="419">
        <f t="shared" si="15"/>
        <v>0</v>
      </c>
      <c r="K85" s="465"/>
      <c r="L85" s="465"/>
      <c r="M85" s="466"/>
      <c r="N85" s="465"/>
      <c r="O85" s="465"/>
      <c r="P85" s="476"/>
      <c r="Q85" s="468"/>
      <c r="R85" s="422">
        <f>K85*'Grundlagen Anfall'!F75+L85*'Grundlagen Anfall'!G75+N85*'Grundlagen Anfall'!J75+O85*'Grundlagen Anfall'!L75+P85*'Grundlagen Anfall'!N75</f>
        <v>0</v>
      </c>
      <c r="S85" s="423">
        <f>L85*'Grundlagen Anfall'!H75+M85*'Grundlagen Anfall'!I75+N85*'Grundlagen Anfall'!K75+O85*'Grundlagen Anfall'!M75+P85*'Grundlagen Anfall'!O75</f>
        <v>0</v>
      </c>
    </row>
    <row r="86" spans="1:25" ht="15.75" customHeight="1">
      <c r="A86" s="424" t="s">
        <v>157</v>
      </c>
      <c r="B86" s="55"/>
      <c r="C86" s="55"/>
      <c r="D86" s="55"/>
      <c r="E86" s="55"/>
      <c r="F86" s="55"/>
      <c r="G86" s="45" t="s">
        <v>5</v>
      </c>
      <c r="H86" s="418">
        <f t="shared" si="16"/>
        <v>0</v>
      </c>
      <c r="I86" s="46">
        <v>0.125</v>
      </c>
      <c r="J86" s="419">
        <f t="shared" si="15"/>
        <v>0</v>
      </c>
      <c r="K86" s="465"/>
      <c r="L86" s="465"/>
      <c r="M86" s="466"/>
      <c r="N86" s="465"/>
      <c r="O86" s="465"/>
      <c r="P86" s="476"/>
      <c r="Q86" s="468"/>
      <c r="R86" s="422">
        <f>K86*'Grundlagen Anfall'!F76+L86*'Grundlagen Anfall'!G76+N86*'Grundlagen Anfall'!J76+O86*'Grundlagen Anfall'!L76+P86*'Grundlagen Anfall'!N76</f>
        <v>0</v>
      </c>
      <c r="S86" s="423">
        <f>L86*'Grundlagen Anfall'!H76+M86*'Grundlagen Anfall'!I76+N86*'Grundlagen Anfall'!K76+O86*'Grundlagen Anfall'!M76+P86*'Grundlagen Anfall'!O76</f>
        <v>0</v>
      </c>
    </row>
    <row r="87" spans="1:25" ht="15.75" customHeight="1">
      <c r="A87" s="424" t="s">
        <v>158</v>
      </c>
      <c r="B87" s="55"/>
      <c r="C87" s="55"/>
      <c r="D87" s="55"/>
      <c r="E87" s="55"/>
      <c r="F87" s="55"/>
      <c r="G87" s="45" t="s">
        <v>5</v>
      </c>
      <c r="H87" s="418">
        <f t="shared" si="16"/>
        <v>0</v>
      </c>
      <c r="I87" s="85">
        <v>2.3999999999999998E-3</v>
      </c>
      <c r="J87" s="419">
        <f t="shared" si="15"/>
        <v>0</v>
      </c>
      <c r="K87" s="465"/>
      <c r="L87" s="465"/>
      <c r="M87" s="466"/>
      <c r="N87" s="465"/>
      <c r="O87" s="465"/>
      <c r="P87" s="476"/>
      <c r="Q87" s="468"/>
      <c r="R87" s="422">
        <f>K87*'Grundlagen Anfall'!F77+L87*'Grundlagen Anfall'!G77+N87*'Grundlagen Anfall'!J77+O87*'Grundlagen Anfall'!L77+P87*'Grundlagen Anfall'!N77</f>
        <v>0</v>
      </c>
      <c r="S87" s="423">
        <f>L87*'Grundlagen Anfall'!H77+M87*'Grundlagen Anfall'!I77+N87*'Grundlagen Anfall'!K77+O87*'Grundlagen Anfall'!M77+P87*'Grundlagen Anfall'!O77</f>
        <v>0</v>
      </c>
    </row>
    <row r="88" spans="1:25" ht="15.75" customHeight="1" thickBot="1">
      <c r="A88" s="425" t="s">
        <v>8</v>
      </c>
      <c r="B88" s="758"/>
      <c r="C88" s="759"/>
      <c r="D88" s="759"/>
      <c r="E88" s="759"/>
      <c r="F88" s="760"/>
      <c r="G88" s="477"/>
      <c r="H88" s="418">
        <f t="shared" si="16"/>
        <v>0</v>
      </c>
      <c r="I88" s="428"/>
      <c r="J88" s="419">
        <f t="shared" si="15"/>
        <v>0</v>
      </c>
      <c r="K88" s="449"/>
      <c r="L88" s="450"/>
      <c r="M88" s="449"/>
      <c r="N88" s="449"/>
      <c r="O88" s="450"/>
      <c r="P88" s="449"/>
      <c r="Q88" s="449"/>
      <c r="R88" s="451"/>
      <c r="S88" s="432"/>
    </row>
    <row r="89" spans="1:25" ht="18" customHeight="1" thickBot="1">
      <c r="A89" s="433"/>
      <c r="B89" s="433"/>
      <c r="C89" s="433"/>
      <c r="D89" s="433"/>
      <c r="E89" s="434"/>
      <c r="F89" s="433"/>
      <c r="G89" s="435"/>
      <c r="H89" s="452">
        <f>SUM(H78:H88)</f>
        <v>0</v>
      </c>
      <c r="I89" s="623">
        <f>SUM(K89:Q89)</f>
        <v>0</v>
      </c>
      <c r="J89" s="436">
        <f>SUM(J78:J88)</f>
        <v>0</v>
      </c>
      <c r="K89" s="437">
        <f t="shared" ref="K89:S89" si="17">SUM(K78:K88)</f>
        <v>0</v>
      </c>
      <c r="L89" s="437">
        <f t="shared" si="17"/>
        <v>0</v>
      </c>
      <c r="M89" s="437">
        <f t="shared" si="17"/>
        <v>0</v>
      </c>
      <c r="N89" s="437">
        <f t="shared" si="17"/>
        <v>0</v>
      </c>
      <c r="O89" s="437">
        <f t="shared" si="17"/>
        <v>0</v>
      </c>
      <c r="P89" s="437">
        <f t="shared" si="17"/>
        <v>0</v>
      </c>
      <c r="Q89" s="437">
        <f t="shared" si="17"/>
        <v>0</v>
      </c>
      <c r="R89" s="438">
        <f t="shared" si="17"/>
        <v>0</v>
      </c>
      <c r="S89" s="439">
        <f t="shared" si="17"/>
        <v>0</v>
      </c>
    </row>
    <row r="90" spans="1:25" ht="12" customHeight="1" thickBot="1"/>
    <row r="91" spans="1:25" ht="21" customHeight="1">
      <c r="A91" s="406" t="s">
        <v>13</v>
      </c>
      <c r="B91" s="407"/>
      <c r="C91" s="407"/>
      <c r="D91" s="407"/>
      <c r="E91" s="407"/>
      <c r="F91" s="407"/>
      <c r="G91" s="408"/>
      <c r="H91" s="409"/>
      <c r="I91" s="410"/>
      <c r="J91" s="411"/>
      <c r="K91" s="409"/>
      <c r="L91" s="409"/>
      <c r="M91" s="412"/>
      <c r="N91" s="409"/>
      <c r="O91" s="409"/>
      <c r="P91" s="409"/>
      <c r="Q91" s="409"/>
      <c r="R91" s="413"/>
      <c r="S91" s="414"/>
      <c r="U91" s="29"/>
      <c r="V91" s="29"/>
      <c r="W91" s="28"/>
      <c r="X91" s="29"/>
      <c r="Y91" s="28"/>
    </row>
    <row r="92" spans="1:25" ht="15.75" customHeight="1">
      <c r="A92" s="489" t="s">
        <v>104</v>
      </c>
      <c r="B92" s="478"/>
      <c r="C92" s="478"/>
      <c r="D92" s="478"/>
      <c r="E92" s="75"/>
      <c r="F92" s="479"/>
      <c r="G92" s="34" t="s">
        <v>5</v>
      </c>
      <c r="H92" s="418">
        <f>SUM(K92:Q92)</f>
        <v>0</v>
      </c>
      <c r="I92" s="35">
        <v>0.17</v>
      </c>
      <c r="J92" s="454">
        <f t="shared" ref="J92:J106" si="18">H92*I92</f>
        <v>0</v>
      </c>
      <c r="K92" s="480"/>
      <c r="L92" s="461"/>
      <c r="M92" s="480"/>
      <c r="N92" s="480"/>
      <c r="O92" s="462"/>
      <c r="P92" s="480"/>
      <c r="Q92" s="480"/>
      <c r="R92" s="422">
        <f>K92*'Grundlagen Anfall'!F82+L92*'Grundlagen Anfall'!G82+N92*'Grundlagen Anfall'!J82+O92*'Grundlagen Anfall'!L82+P92*'Grundlagen Anfall'!N82</f>
        <v>0</v>
      </c>
      <c r="S92" s="423">
        <f>L92*'Grundlagen Anfall'!H82+M92*'Grundlagen Anfall'!I82+N92*'Grundlagen Anfall'!K82+O92*'Grundlagen Anfall'!M82+P92*'Grundlagen Anfall'!O82</f>
        <v>0</v>
      </c>
    </row>
    <row r="93" spans="1:25" ht="15.75" customHeight="1">
      <c r="A93" s="424" t="s">
        <v>136</v>
      </c>
      <c r="B93" s="455"/>
      <c r="C93" s="455"/>
      <c r="D93" s="455"/>
      <c r="E93" s="455"/>
      <c r="F93" s="481"/>
      <c r="G93" s="45" t="s">
        <v>1</v>
      </c>
      <c r="H93" s="418">
        <f t="shared" ref="H93:H106" si="19">SUM(K93:Q93)</f>
        <v>0</v>
      </c>
      <c r="I93" s="46">
        <v>5.8999999999999997E-2</v>
      </c>
      <c r="J93" s="457">
        <f t="shared" si="18"/>
        <v>0</v>
      </c>
      <c r="K93" s="482"/>
      <c r="L93" s="465"/>
      <c r="M93" s="482"/>
      <c r="N93" s="482"/>
      <c r="O93" s="466"/>
      <c r="P93" s="482"/>
      <c r="Q93" s="482"/>
      <c r="R93" s="422">
        <f>K93*'Grundlagen Anfall'!F83+L93*'Grundlagen Anfall'!G83+N93*'Grundlagen Anfall'!J83+O93*'Grundlagen Anfall'!L83+P93*'Grundlagen Anfall'!N83</f>
        <v>0</v>
      </c>
      <c r="S93" s="423">
        <f>L93*'Grundlagen Anfall'!H83+M93*'Grundlagen Anfall'!I83+N93*'Grundlagen Anfall'!K83+O93*'Grundlagen Anfall'!M83+P93*'Grundlagen Anfall'!O83</f>
        <v>0</v>
      </c>
    </row>
    <row r="94" spans="1:25" ht="15.75" customHeight="1">
      <c r="A94" s="424" t="s">
        <v>140</v>
      </c>
      <c r="B94" s="301"/>
      <c r="C94" s="301"/>
      <c r="D94" s="301"/>
      <c r="E94" s="301"/>
      <c r="F94" s="483"/>
      <c r="G94" s="45" t="s">
        <v>5</v>
      </c>
      <c r="H94" s="418">
        <f t="shared" si="19"/>
        <v>0</v>
      </c>
      <c r="I94" s="46">
        <v>0.45</v>
      </c>
      <c r="J94" s="457">
        <f t="shared" si="18"/>
        <v>0</v>
      </c>
      <c r="K94" s="482"/>
      <c r="L94" s="465"/>
      <c r="M94" s="482"/>
      <c r="N94" s="482"/>
      <c r="O94" s="466"/>
      <c r="P94" s="482"/>
      <c r="Q94" s="482"/>
      <c r="R94" s="422">
        <f>K94*'Grundlagen Anfall'!F84+L94*'Grundlagen Anfall'!G84+N94*'Grundlagen Anfall'!J84+O94*'Grundlagen Anfall'!L84+P94*'Grundlagen Anfall'!N84</f>
        <v>0</v>
      </c>
      <c r="S94" s="423">
        <f>L94*'Grundlagen Anfall'!H84+M94*'Grundlagen Anfall'!I84+N94*'Grundlagen Anfall'!K84+O94*'Grundlagen Anfall'!M84+P94*'Grundlagen Anfall'!O84</f>
        <v>0</v>
      </c>
    </row>
    <row r="95" spans="1:25" ht="15.75" customHeight="1">
      <c r="A95" s="424" t="s">
        <v>135</v>
      </c>
      <c r="B95" s="455"/>
      <c r="C95" s="455"/>
      <c r="D95" s="455"/>
      <c r="E95" s="455"/>
      <c r="F95" s="481"/>
      <c r="G95" s="45" t="s">
        <v>1</v>
      </c>
      <c r="H95" s="418">
        <f t="shared" si="19"/>
        <v>0</v>
      </c>
      <c r="I95" s="46">
        <v>0.25</v>
      </c>
      <c r="J95" s="457">
        <f t="shared" si="18"/>
        <v>0</v>
      </c>
      <c r="K95" s="482"/>
      <c r="L95" s="465"/>
      <c r="M95" s="482"/>
      <c r="N95" s="482"/>
      <c r="O95" s="466"/>
      <c r="P95" s="482"/>
      <c r="Q95" s="482"/>
      <c r="R95" s="422">
        <f>K95*'Grundlagen Anfall'!F85+L95*'Grundlagen Anfall'!G85+N95*'Grundlagen Anfall'!J85+O95*'Grundlagen Anfall'!L85+P95*'Grundlagen Anfall'!N85</f>
        <v>0</v>
      </c>
      <c r="S95" s="423">
        <f>L95*'Grundlagen Anfall'!H88+M95*'Grundlagen Anfall'!I88+N95*'Grundlagen Anfall'!K88+O95*'Grundlagen Anfall'!M88+P95*'Grundlagen Anfall'!O88</f>
        <v>0</v>
      </c>
    </row>
    <row r="96" spans="1:25" ht="15.75" customHeight="1">
      <c r="A96" s="424" t="s">
        <v>57</v>
      </c>
      <c r="B96" s="455"/>
      <c r="C96" s="455"/>
      <c r="D96" s="455"/>
      <c r="E96" s="455"/>
      <c r="F96" s="481"/>
      <c r="G96" s="45" t="s">
        <v>5</v>
      </c>
      <c r="H96" s="418">
        <f t="shared" si="19"/>
        <v>0</v>
      </c>
      <c r="I96" s="46">
        <v>0.06</v>
      </c>
      <c r="J96" s="457">
        <f t="shared" si="18"/>
        <v>0</v>
      </c>
      <c r="K96" s="482"/>
      <c r="L96" s="465"/>
      <c r="M96" s="482"/>
      <c r="N96" s="482"/>
      <c r="O96" s="466"/>
      <c r="P96" s="482"/>
      <c r="Q96" s="482"/>
      <c r="R96" s="422">
        <f>K96*'Grundlagen Anfall'!F86+L96*'Grundlagen Anfall'!G86+N96*'Grundlagen Anfall'!J86+O96*'Grundlagen Anfall'!L86+P96*'Grundlagen Anfall'!N86</f>
        <v>0</v>
      </c>
      <c r="S96" s="423">
        <f>L96*'Grundlagen Anfall'!H89+M96*'Grundlagen Anfall'!I89+N96*'Grundlagen Anfall'!K89+O96*'Grundlagen Anfall'!M89+P96*'Grundlagen Anfall'!O89</f>
        <v>0</v>
      </c>
    </row>
    <row r="97" spans="1:25" ht="15.75" customHeight="1">
      <c r="A97" s="424" t="s">
        <v>137</v>
      </c>
      <c r="B97" s="455"/>
      <c r="C97" s="455"/>
      <c r="D97" s="455"/>
      <c r="E97" s="455"/>
      <c r="F97" s="481"/>
      <c r="G97" s="45" t="s">
        <v>1</v>
      </c>
      <c r="H97" s="418">
        <f t="shared" si="19"/>
        <v>0</v>
      </c>
      <c r="I97" s="46">
        <v>5.0000000000000001E-3</v>
      </c>
      <c r="J97" s="457">
        <f t="shared" si="18"/>
        <v>0</v>
      </c>
      <c r="K97" s="482"/>
      <c r="L97" s="465"/>
      <c r="M97" s="482"/>
      <c r="N97" s="482"/>
      <c r="O97" s="466"/>
      <c r="P97" s="482"/>
      <c r="Q97" s="482"/>
      <c r="R97" s="422">
        <f>K97*'Grundlagen Anfall'!F87+L97*'Grundlagen Anfall'!G87+N97*'Grundlagen Anfall'!J87+O97*'Grundlagen Anfall'!L87+P97*'Grundlagen Anfall'!N87</f>
        <v>0</v>
      </c>
      <c r="S97" s="423">
        <f>L97*'Grundlagen Anfall'!H86+M97*'Grundlagen Anfall'!I86+N97*'Grundlagen Anfall'!K86+O97*'Grundlagen Anfall'!M86+P97*'Grundlagen Anfall'!O86</f>
        <v>0</v>
      </c>
    </row>
    <row r="98" spans="1:25" ht="15.75" customHeight="1">
      <c r="A98" s="424" t="s">
        <v>56</v>
      </c>
      <c r="B98" s="455"/>
      <c r="C98" s="455"/>
      <c r="D98" s="455"/>
      <c r="E98" s="455"/>
      <c r="F98" s="481"/>
      <c r="G98" s="45" t="s">
        <v>5</v>
      </c>
      <c r="H98" s="418">
        <f t="shared" si="19"/>
        <v>0</v>
      </c>
      <c r="I98" s="46">
        <v>0.26</v>
      </c>
      <c r="J98" s="457">
        <f t="shared" si="18"/>
        <v>0</v>
      </c>
      <c r="K98" s="482"/>
      <c r="L98" s="465"/>
      <c r="M98" s="482"/>
      <c r="N98" s="482"/>
      <c r="O98" s="482"/>
      <c r="P98" s="482"/>
      <c r="Q98" s="482"/>
      <c r="R98" s="422">
        <f>K98*'Grundlagen Anfall'!F88+L98*'Grundlagen Anfall'!G88+N98*'Grundlagen Anfall'!J88+O98*'Grundlagen Anfall'!L88+P98*'Grundlagen Anfall'!N88</f>
        <v>0</v>
      </c>
      <c r="S98" s="423">
        <f>L98*'Grundlagen Anfall'!H87+M98*'Grundlagen Anfall'!I87+N98*'Grundlagen Anfall'!K87+O98*'Grundlagen Anfall'!M87+P98*'Grundlagen Anfall'!O87</f>
        <v>0</v>
      </c>
    </row>
    <row r="99" spans="1:25" ht="15.75" customHeight="1">
      <c r="A99" s="424" t="s">
        <v>138</v>
      </c>
      <c r="B99" s="455"/>
      <c r="C99" s="455"/>
      <c r="D99" s="455"/>
      <c r="E99" s="455"/>
      <c r="F99" s="481"/>
      <c r="G99" s="45" t="s">
        <v>1</v>
      </c>
      <c r="H99" s="418">
        <f t="shared" si="19"/>
        <v>0</v>
      </c>
      <c r="I99" s="46">
        <v>0.08</v>
      </c>
      <c r="J99" s="457">
        <f t="shared" si="18"/>
        <v>0</v>
      </c>
      <c r="K99" s="482"/>
      <c r="L99" s="465"/>
      <c r="M99" s="482"/>
      <c r="N99" s="482"/>
      <c r="O99" s="466"/>
      <c r="P99" s="482"/>
      <c r="Q99" s="482"/>
      <c r="R99" s="422">
        <f>K99*'Grundlagen Anfall'!F89+L99*'Grundlagen Anfall'!G89+N99*'Grundlagen Anfall'!J89+O99*'Grundlagen Anfall'!L89+P99*'Grundlagen Anfall'!N89</f>
        <v>0</v>
      </c>
      <c r="S99" s="423">
        <f>L99*'Grundlagen Anfall'!H90+M99*'Grundlagen Anfall'!I90+N99*'Grundlagen Anfall'!K90+O99*'Grundlagen Anfall'!M90+P99*'Grundlagen Anfall'!O90</f>
        <v>0</v>
      </c>
    </row>
    <row r="100" spans="1:25" ht="15.75" customHeight="1">
      <c r="A100" s="424" t="s">
        <v>55</v>
      </c>
      <c r="B100" s="455"/>
      <c r="C100" s="455"/>
      <c r="D100" s="455"/>
      <c r="E100" s="455"/>
      <c r="F100" s="481"/>
      <c r="G100" s="45" t="s">
        <v>5</v>
      </c>
      <c r="H100" s="418">
        <f t="shared" si="19"/>
        <v>0</v>
      </c>
      <c r="I100" s="46">
        <v>0.28000000000000003</v>
      </c>
      <c r="J100" s="457">
        <f t="shared" si="18"/>
        <v>0</v>
      </c>
      <c r="K100" s="482"/>
      <c r="L100" s="465"/>
      <c r="M100" s="482"/>
      <c r="N100" s="482"/>
      <c r="O100" s="466"/>
      <c r="P100" s="482"/>
      <c r="Q100" s="482"/>
      <c r="R100" s="422">
        <f>K100*'Grundlagen Anfall'!F90+L100*'Grundlagen Anfall'!G90+N100*'Grundlagen Anfall'!J90+O100*'Grundlagen Anfall'!L90+P100*'Grundlagen Anfall'!N90</f>
        <v>0</v>
      </c>
      <c r="S100" s="423">
        <f>L100*'Grundlagen Anfall'!H91+M100*'Grundlagen Anfall'!I91+N100*'Grundlagen Anfall'!K91+O100*'Grundlagen Anfall'!M91+P100*'Grundlagen Anfall'!O91</f>
        <v>0</v>
      </c>
    </row>
    <row r="101" spans="1:25" ht="15.75" customHeight="1">
      <c r="A101" s="424" t="s">
        <v>59</v>
      </c>
      <c r="B101" s="455"/>
      <c r="C101" s="455"/>
      <c r="D101" s="455"/>
      <c r="E101" s="455"/>
      <c r="F101" s="481"/>
      <c r="G101" s="45" t="s">
        <v>5</v>
      </c>
      <c r="H101" s="418">
        <f t="shared" si="19"/>
        <v>0</v>
      </c>
      <c r="I101" s="46">
        <v>0.55000000000000004</v>
      </c>
      <c r="J101" s="457">
        <f t="shared" si="18"/>
        <v>0</v>
      </c>
      <c r="K101" s="482"/>
      <c r="L101" s="465"/>
      <c r="M101" s="482"/>
      <c r="N101" s="482"/>
      <c r="O101" s="466"/>
      <c r="P101" s="482"/>
      <c r="Q101" s="482"/>
      <c r="R101" s="422">
        <f>K101*'Grundlagen Anfall'!F91+L101*'Grundlagen Anfall'!G91+N101*'Grundlagen Anfall'!J91+O101*'Grundlagen Anfall'!L91+P101*'Grundlagen Anfall'!N91</f>
        <v>0</v>
      </c>
      <c r="S101" s="423">
        <f>L101*'Grundlagen Anfall'!H92+M101*'Grundlagen Anfall'!I92+N101*'Grundlagen Anfall'!K92+O101*'Grundlagen Anfall'!M92+P101*'Grundlagen Anfall'!O92</f>
        <v>0</v>
      </c>
    </row>
    <row r="102" spans="1:25" ht="15.75" customHeight="1">
      <c r="A102" s="424" t="s">
        <v>139</v>
      </c>
      <c r="B102" s="455"/>
      <c r="C102" s="455"/>
      <c r="D102" s="455"/>
      <c r="E102" s="455"/>
      <c r="F102" s="481"/>
      <c r="G102" s="45" t="s">
        <v>1</v>
      </c>
      <c r="H102" s="418">
        <f t="shared" si="19"/>
        <v>0</v>
      </c>
      <c r="I102" s="46">
        <v>7.0000000000000007E-2</v>
      </c>
      <c r="J102" s="457">
        <f t="shared" si="18"/>
        <v>0</v>
      </c>
      <c r="K102" s="482"/>
      <c r="L102" s="465"/>
      <c r="M102" s="482"/>
      <c r="N102" s="482"/>
      <c r="O102" s="466"/>
      <c r="P102" s="482"/>
      <c r="Q102" s="482"/>
      <c r="R102" s="422">
        <f>K102*'Grundlagen Anfall'!F92+L102*'Grundlagen Anfall'!G92+N102*'Grundlagen Anfall'!J92+O102*'Grundlagen Anfall'!L92+P102*'Grundlagen Anfall'!N92</f>
        <v>0</v>
      </c>
      <c r="S102" s="423">
        <f>L102*'Grundlagen Anfall'!H85+M102*'Grundlagen Anfall'!I85+N102*'Grundlagen Anfall'!K85+O102*'Grundlagen Anfall'!M85+P102*'Grundlagen Anfall'!O85</f>
        <v>0</v>
      </c>
    </row>
    <row r="103" spans="1:25" ht="15.75" customHeight="1">
      <c r="A103" s="424" t="s">
        <v>60</v>
      </c>
      <c r="B103" s="455"/>
      <c r="C103" s="455"/>
      <c r="D103" s="455"/>
      <c r="E103" s="455"/>
      <c r="F103" s="481"/>
      <c r="G103" s="45" t="s">
        <v>5</v>
      </c>
      <c r="H103" s="418">
        <f t="shared" si="19"/>
        <v>0</v>
      </c>
      <c r="I103" s="46">
        <v>0.12</v>
      </c>
      <c r="J103" s="457">
        <f t="shared" si="18"/>
        <v>0</v>
      </c>
      <c r="K103" s="482"/>
      <c r="L103" s="465"/>
      <c r="M103" s="482"/>
      <c r="N103" s="482"/>
      <c r="O103" s="466"/>
      <c r="P103" s="482"/>
      <c r="Q103" s="482"/>
      <c r="R103" s="422">
        <f>K103*'Grundlagen Anfall'!F93+L103*'Grundlagen Anfall'!G93+N103*'Grundlagen Anfall'!J93+O103*'Grundlagen Anfall'!L93+P103*'Grundlagen Anfall'!N93</f>
        <v>0</v>
      </c>
      <c r="S103" s="423">
        <f>L103*'Grundlagen Anfall'!H93+M103*'Grundlagen Anfall'!I93+N103*'Grundlagen Anfall'!K93+O103*'Grundlagen Anfall'!M93+P103*'Grundlagen Anfall'!O93</f>
        <v>0</v>
      </c>
    </row>
    <row r="104" spans="1:25" ht="15.75" customHeight="1">
      <c r="A104" s="424" t="s">
        <v>105</v>
      </c>
      <c r="B104" s="455"/>
      <c r="C104" s="455"/>
      <c r="D104" s="455"/>
      <c r="E104" s="455"/>
      <c r="F104" s="481"/>
      <c r="G104" s="45" t="s">
        <v>5</v>
      </c>
      <c r="H104" s="418">
        <f t="shared" si="19"/>
        <v>0</v>
      </c>
      <c r="I104" s="46">
        <v>0.3</v>
      </c>
      <c r="J104" s="457">
        <f t="shared" si="18"/>
        <v>0</v>
      </c>
      <c r="K104" s="482"/>
      <c r="L104" s="465"/>
      <c r="M104" s="482"/>
      <c r="N104" s="482"/>
      <c r="O104" s="466"/>
      <c r="P104" s="482"/>
      <c r="Q104" s="482"/>
      <c r="R104" s="422">
        <f>K104*'Grundlagen Anfall'!F94+L104*'Grundlagen Anfall'!G94+N104*'Grundlagen Anfall'!J94+O104*'Grundlagen Anfall'!L94+P104*'Grundlagen Anfall'!N94</f>
        <v>0</v>
      </c>
      <c r="S104" s="423">
        <f>L104*'Grundlagen Anfall'!H94+M104*'Grundlagen Anfall'!I94+N104*'Grundlagen Anfall'!K94+O104*'Grundlagen Anfall'!M94+P104*'Grundlagen Anfall'!O94</f>
        <v>0</v>
      </c>
    </row>
    <row r="105" spans="1:25" ht="15.75" customHeight="1">
      <c r="A105" s="424" t="s">
        <v>58</v>
      </c>
      <c r="B105" s="455"/>
      <c r="C105" s="455"/>
      <c r="D105" s="455"/>
      <c r="E105" s="455"/>
      <c r="F105" s="481"/>
      <c r="G105" s="45" t="s">
        <v>5</v>
      </c>
      <c r="H105" s="418">
        <f t="shared" si="19"/>
        <v>0</v>
      </c>
      <c r="I105" s="46">
        <v>0.34</v>
      </c>
      <c r="J105" s="457">
        <f t="shared" si="18"/>
        <v>0</v>
      </c>
      <c r="K105" s="482"/>
      <c r="L105" s="465"/>
      <c r="M105" s="482"/>
      <c r="N105" s="482"/>
      <c r="O105" s="466"/>
      <c r="P105" s="482"/>
      <c r="Q105" s="482"/>
      <c r="R105" s="422">
        <f>K105*'Grundlagen Anfall'!F95+L105*'Grundlagen Anfall'!G95+N105*'Grundlagen Anfall'!J95+O105*'Grundlagen Anfall'!L95+P105*'Grundlagen Anfall'!N95</f>
        <v>0</v>
      </c>
      <c r="S105" s="423">
        <f>L105*'Grundlagen Anfall'!H95+M105*'Grundlagen Anfall'!I95+N105*'Grundlagen Anfall'!K95+O105*'Grundlagen Anfall'!M95+P105*'Grundlagen Anfall'!O95</f>
        <v>0</v>
      </c>
    </row>
    <row r="106" spans="1:25" ht="15.75" customHeight="1" thickBot="1">
      <c r="A106" s="473" t="s">
        <v>8</v>
      </c>
      <c r="B106" s="758"/>
      <c r="C106" s="759"/>
      <c r="D106" s="759"/>
      <c r="E106" s="759"/>
      <c r="F106" s="760"/>
      <c r="G106" s="484"/>
      <c r="H106" s="427">
        <f t="shared" si="19"/>
        <v>0</v>
      </c>
      <c r="I106" s="428"/>
      <c r="J106" s="448">
        <f t="shared" si="18"/>
        <v>0</v>
      </c>
      <c r="K106" s="449"/>
      <c r="L106" s="450"/>
      <c r="M106" s="449"/>
      <c r="N106" s="449"/>
      <c r="O106" s="450"/>
      <c r="P106" s="449"/>
      <c r="Q106" s="449"/>
      <c r="R106" s="451"/>
      <c r="S106" s="432"/>
    </row>
    <row r="107" spans="1:25" ht="18" customHeight="1" thickBot="1">
      <c r="A107" s="433"/>
      <c r="B107" s="433"/>
      <c r="C107" s="433"/>
      <c r="D107" s="433"/>
      <c r="E107" s="434"/>
      <c r="F107" s="433"/>
      <c r="G107" s="435"/>
      <c r="H107" s="452">
        <f>SUM(H92:H106)</f>
        <v>0</v>
      </c>
      <c r="I107" s="623">
        <f>SUM(K107:Q107)</f>
        <v>0</v>
      </c>
      <c r="J107" s="436">
        <f t="shared" ref="J107:S107" si="20">SUM(J92:J106)</f>
        <v>0</v>
      </c>
      <c r="K107" s="437">
        <f t="shared" si="20"/>
        <v>0</v>
      </c>
      <c r="L107" s="437">
        <f t="shared" si="20"/>
        <v>0</v>
      </c>
      <c r="M107" s="437">
        <f t="shared" si="20"/>
        <v>0</v>
      </c>
      <c r="N107" s="437">
        <f t="shared" si="20"/>
        <v>0</v>
      </c>
      <c r="O107" s="437">
        <f t="shared" si="20"/>
        <v>0</v>
      </c>
      <c r="P107" s="437">
        <f t="shared" si="20"/>
        <v>0</v>
      </c>
      <c r="Q107" s="437">
        <f t="shared" si="20"/>
        <v>0</v>
      </c>
      <c r="R107" s="438">
        <f t="shared" si="20"/>
        <v>0</v>
      </c>
      <c r="S107" s="439">
        <f t="shared" si="20"/>
        <v>0</v>
      </c>
    </row>
    <row r="108" spans="1:25" ht="12" customHeight="1" thickBot="1">
      <c r="L108" s="133"/>
      <c r="M108" s="133"/>
      <c r="N108" s="133"/>
      <c r="O108" s="133"/>
      <c r="R108" s="134"/>
      <c r="S108" s="485"/>
    </row>
    <row r="109" spans="1:25" ht="27" customHeight="1">
      <c r="A109" s="406" t="s">
        <v>14</v>
      </c>
      <c r="B109" s="407"/>
      <c r="C109" s="407"/>
      <c r="D109" s="407"/>
      <c r="E109" s="407"/>
      <c r="F109" s="407"/>
      <c r="G109" s="408"/>
      <c r="H109" s="409"/>
      <c r="I109" s="410"/>
      <c r="J109" s="411"/>
      <c r="K109" s="486"/>
      <c r="L109" s="487" t="s">
        <v>251</v>
      </c>
      <c r="M109" s="487" t="s">
        <v>252</v>
      </c>
      <c r="N109" s="412"/>
      <c r="O109" s="487" t="s">
        <v>253</v>
      </c>
      <c r="P109" s="487" t="s">
        <v>254</v>
      </c>
      <c r="Q109" s="488"/>
      <c r="R109" s="413"/>
      <c r="S109" s="414"/>
      <c r="U109" s="29"/>
      <c r="V109" s="29"/>
      <c r="W109" s="28"/>
      <c r="X109" s="29"/>
      <c r="Y109" s="28"/>
    </row>
    <row r="110" spans="1:25" ht="15.75" customHeight="1">
      <c r="A110" s="489" t="s">
        <v>61</v>
      </c>
      <c r="B110" s="75"/>
      <c r="C110" s="75"/>
      <c r="D110" s="75"/>
      <c r="E110" s="75"/>
      <c r="F110" s="75"/>
      <c r="G110" s="34" t="s">
        <v>15</v>
      </c>
      <c r="H110" s="621">
        <f>SUM(K110:Q110)</f>
        <v>0</v>
      </c>
      <c r="I110" s="490">
        <v>1</v>
      </c>
      <c r="J110" s="454">
        <f>H110*I110</f>
        <v>0</v>
      </c>
      <c r="K110" s="39"/>
      <c r="L110" s="624"/>
      <c r="M110" s="624"/>
      <c r="N110" s="39"/>
      <c r="O110" s="89"/>
      <c r="P110" s="39"/>
      <c r="Q110" s="624"/>
      <c r="R110" s="422"/>
      <c r="S110" s="423">
        <f>L110*'Grundlagen Anfall'!I100+M110*'Grundlagen Anfall'!K100</f>
        <v>0</v>
      </c>
    </row>
    <row r="111" spans="1:25" ht="15.75" customHeight="1">
      <c r="A111" s="424" t="s">
        <v>16</v>
      </c>
      <c r="B111" s="55"/>
      <c r="C111" s="55"/>
      <c r="D111" s="55"/>
      <c r="E111" s="55"/>
      <c r="F111" s="55"/>
      <c r="G111" s="45" t="s">
        <v>15</v>
      </c>
      <c r="H111" s="621">
        <f t="shared" ref="H111:H122" si="21">SUM(K111:Q111)</f>
        <v>0</v>
      </c>
      <c r="I111" s="491">
        <v>0.4</v>
      </c>
      <c r="J111" s="457">
        <f t="shared" ref="J111:J122" si="22">H111*I111</f>
        <v>0</v>
      </c>
      <c r="K111" s="56"/>
      <c r="L111" s="625"/>
      <c r="M111" s="625"/>
      <c r="N111" s="56"/>
      <c r="O111" s="626"/>
      <c r="P111" s="56"/>
      <c r="Q111" s="625"/>
      <c r="R111" s="422"/>
      <c r="S111" s="423">
        <f>L111*'Grundlagen Anfall'!I101+M111*'Grundlagen Anfall'!K101</f>
        <v>0</v>
      </c>
    </row>
    <row r="112" spans="1:25" ht="15.75" customHeight="1">
      <c r="A112" s="424" t="s">
        <v>17</v>
      </c>
      <c r="B112" s="55"/>
      <c r="C112" s="55"/>
      <c r="D112" s="55"/>
      <c r="E112" s="55"/>
      <c r="F112" s="55"/>
      <c r="G112" s="45" t="s">
        <v>15</v>
      </c>
      <c r="H112" s="621">
        <f t="shared" si="21"/>
        <v>0</v>
      </c>
      <c r="I112" s="491">
        <v>0.4</v>
      </c>
      <c r="J112" s="457">
        <f t="shared" si="22"/>
        <v>0</v>
      </c>
      <c r="K112" s="56"/>
      <c r="L112" s="56"/>
      <c r="M112" s="56"/>
      <c r="N112" s="56"/>
      <c r="O112" s="627"/>
      <c r="P112" s="56"/>
      <c r="Q112" s="625"/>
      <c r="R112" s="422"/>
      <c r="S112" s="423">
        <f>O112*'Grundlagen Anfall'!M102</f>
        <v>0</v>
      </c>
    </row>
    <row r="113" spans="1:21" ht="15.75" customHeight="1">
      <c r="A113" s="424" t="s">
        <v>18</v>
      </c>
      <c r="B113" s="55"/>
      <c r="C113" s="55"/>
      <c r="D113" s="55"/>
      <c r="E113" s="55"/>
      <c r="F113" s="55"/>
      <c r="G113" s="45" t="s">
        <v>15</v>
      </c>
      <c r="H113" s="621">
        <f t="shared" si="21"/>
        <v>0</v>
      </c>
      <c r="I113" s="491">
        <v>1.5</v>
      </c>
      <c r="J113" s="457">
        <f t="shared" si="22"/>
        <v>0</v>
      </c>
      <c r="K113" s="56"/>
      <c r="L113" s="56"/>
      <c r="M113" s="56"/>
      <c r="N113" s="56"/>
      <c r="O113" s="626"/>
      <c r="P113" s="625"/>
      <c r="Q113" s="625"/>
      <c r="R113" s="422"/>
      <c r="S113" s="423">
        <f>P113*'Grundlagen Anfall'!O103</f>
        <v>0</v>
      </c>
    </row>
    <row r="114" spans="1:21" ht="15.75" customHeight="1">
      <c r="A114" s="424" t="s">
        <v>68</v>
      </c>
      <c r="B114" s="55"/>
      <c r="C114" s="55"/>
      <c r="D114" s="55"/>
      <c r="E114" s="55"/>
      <c r="F114" s="55"/>
      <c r="G114" s="45" t="s">
        <v>15</v>
      </c>
      <c r="H114" s="621">
        <f t="shared" si="21"/>
        <v>0</v>
      </c>
      <c r="I114" s="491">
        <v>0.5</v>
      </c>
      <c r="J114" s="457">
        <f t="shared" si="22"/>
        <v>0</v>
      </c>
      <c r="K114" s="56"/>
      <c r="L114" s="56"/>
      <c r="M114" s="56"/>
      <c r="N114" s="56"/>
      <c r="O114" s="626"/>
      <c r="P114" s="625"/>
      <c r="Q114" s="625"/>
      <c r="R114" s="422"/>
      <c r="S114" s="423">
        <f>P114*'Grundlagen Anfall'!O104</f>
        <v>0</v>
      </c>
    </row>
    <row r="115" spans="1:21" ht="15.75" customHeight="1">
      <c r="A115" s="424" t="s">
        <v>70</v>
      </c>
      <c r="B115" s="55"/>
      <c r="C115" s="55"/>
      <c r="D115" s="55"/>
      <c r="E115" s="55"/>
      <c r="F115" s="55"/>
      <c r="G115" s="45" t="s">
        <v>15</v>
      </c>
      <c r="H115" s="621">
        <f t="shared" si="21"/>
        <v>0</v>
      </c>
      <c r="I115" s="491">
        <v>1</v>
      </c>
      <c r="J115" s="457">
        <f t="shared" si="22"/>
        <v>0</v>
      </c>
      <c r="K115" s="56"/>
      <c r="L115" s="56"/>
      <c r="M115" s="56"/>
      <c r="N115" s="56"/>
      <c r="O115" s="626"/>
      <c r="P115" s="625"/>
      <c r="Q115" s="625"/>
      <c r="R115" s="422"/>
      <c r="S115" s="423">
        <f>P115*'Grundlagen Anfall'!O105</f>
        <v>0</v>
      </c>
    </row>
    <row r="116" spans="1:21" ht="15.75" customHeight="1">
      <c r="A116" s="424" t="s">
        <v>62</v>
      </c>
      <c r="B116" s="55"/>
      <c r="C116" s="55"/>
      <c r="D116" s="55"/>
      <c r="E116" s="55"/>
      <c r="F116" s="55"/>
      <c r="G116" s="45" t="s">
        <v>15</v>
      </c>
      <c r="H116" s="621">
        <f t="shared" si="21"/>
        <v>0</v>
      </c>
      <c r="I116" s="491">
        <v>1</v>
      </c>
      <c r="J116" s="457">
        <f t="shared" si="22"/>
        <v>0</v>
      </c>
      <c r="K116" s="56"/>
      <c r="L116" s="625"/>
      <c r="M116" s="625"/>
      <c r="N116" s="56"/>
      <c r="O116" s="626"/>
      <c r="P116" s="56"/>
      <c r="Q116" s="625"/>
      <c r="R116" s="422"/>
      <c r="S116" s="423">
        <f>L116*'Grundlagen Anfall'!I106+M116*'Grundlagen Anfall'!K106</f>
        <v>0</v>
      </c>
      <c r="U116" s="361"/>
    </row>
    <row r="117" spans="1:21" ht="15.75" customHeight="1">
      <c r="A117" s="424" t="s">
        <v>63</v>
      </c>
      <c r="B117" s="55"/>
      <c r="C117" s="55"/>
      <c r="D117" s="55"/>
      <c r="E117" s="55"/>
      <c r="F117" s="55"/>
      <c r="G117" s="45" t="s">
        <v>15</v>
      </c>
      <c r="H117" s="621">
        <f t="shared" si="21"/>
        <v>0</v>
      </c>
      <c r="I117" s="491">
        <v>0.6</v>
      </c>
      <c r="J117" s="457">
        <f t="shared" si="22"/>
        <v>0</v>
      </c>
      <c r="K117" s="56"/>
      <c r="L117" s="625"/>
      <c r="M117" s="625"/>
      <c r="N117" s="56"/>
      <c r="O117" s="626"/>
      <c r="P117" s="56"/>
      <c r="Q117" s="625"/>
      <c r="R117" s="422"/>
      <c r="S117" s="423">
        <f>L117*'Grundlagen Anfall'!I107+M117*'Grundlagen Anfall'!K107</f>
        <v>0</v>
      </c>
    </row>
    <row r="118" spans="1:21" ht="15.75" customHeight="1">
      <c r="A118" s="424" t="s">
        <v>64</v>
      </c>
      <c r="B118" s="55"/>
      <c r="C118" s="55"/>
      <c r="D118" s="55"/>
      <c r="E118" s="55"/>
      <c r="F118" s="55"/>
      <c r="G118" s="45" t="s">
        <v>15</v>
      </c>
      <c r="H118" s="621">
        <f t="shared" si="21"/>
        <v>0</v>
      </c>
      <c r="I118" s="491">
        <v>1.5</v>
      </c>
      <c r="J118" s="457">
        <f t="shared" si="22"/>
        <v>0</v>
      </c>
      <c r="K118" s="56"/>
      <c r="L118" s="625"/>
      <c r="M118" s="625"/>
      <c r="N118" s="56"/>
      <c r="O118" s="626"/>
      <c r="P118" s="56"/>
      <c r="Q118" s="625"/>
      <c r="R118" s="422"/>
      <c r="S118" s="423">
        <f>L118*'Grundlagen Anfall'!I108+M118*'Grundlagen Anfall'!K108</f>
        <v>0</v>
      </c>
    </row>
    <row r="119" spans="1:21" ht="15.75" customHeight="1">
      <c r="A119" s="424" t="s">
        <v>65</v>
      </c>
      <c r="B119" s="55"/>
      <c r="C119" s="55"/>
      <c r="D119" s="55"/>
      <c r="E119" s="55"/>
      <c r="F119" s="55"/>
      <c r="G119" s="45" t="s">
        <v>15</v>
      </c>
      <c r="H119" s="621">
        <f t="shared" si="21"/>
        <v>0</v>
      </c>
      <c r="I119" s="491">
        <v>0.75</v>
      </c>
      <c r="J119" s="457">
        <f t="shared" si="22"/>
        <v>0</v>
      </c>
      <c r="K119" s="56"/>
      <c r="L119" s="625"/>
      <c r="M119" s="625"/>
      <c r="N119" s="56"/>
      <c r="O119" s="626"/>
      <c r="P119" s="56"/>
      <c r="Q119" s="625"/>
      <c r="R119" s="422"/>
      <c r="S119" s="423">
        <f>L119*'Grundlagen Anfall'!I109+M119*'Grundlagen Anfall'!K109</f>
        <v>0</v>
      </c>
    </row>
    <row r="120" spans="1:21" ht="15.75" customHeight="1">
      <c r="A120" s="424" t="s">
        <v>66</v>
      </c>
      <c r="B120" s="55"/>
      <c r="C120" s="55"/>
      <c r="D120" s="55"/>
      <c r="E120" s="55"/>
      <c r="F120" s="55"/>
      <c r="G120" s="45" t="s">
        <v>15</v>
      </c>
      <c r="H120" s="621">
        <f t="shared" si="21"/>
        <v>0</v>
      </c>
      <c r="I120" s="491">
        <v>0.5</v>
      </c>
      <c r="J120" s="457">
        <f t="shared" si="22"/>
        <v>0</v>
      </c>
      <c r="K120" s="56"/>
      <c r="L120" s="625"/>
      <c r="M120" s="625"/>
      <c r="N120" s="56"/>
      <c r="O120" s="626"/>
      <c r="P120" s="56"/>
      <c r="Q120" s="625"/>
      <c r="R120" s="422"/>
      <c r="S120" s="423">
        <f>L120*'Grundlagen Anfall'!I110+M120*'Grundlagen Anfall'!K110</f>
        <v>0</v>
      </c>
    </row>
    <row r="121" spans="1:21" ht="15.75" customHeight="1">
      <c r="A121" s="424" t="s">
        <v>67</v>
      </c>
      <c r="B121" s="55"/>
      <c r="C121" s="55"/>
      <c r="D121" s="55"/>
      <c r="E121" s="55"/>
      <c r="F121" s="55"/>
      <c r="G121" s="45" t="s">
        <v>15</v>
      </c>
      <c r="H121" s="621">
        <f t="shared" si="21"/>
        <v>0</v>
      </c>
      <c r="I121" s="491">
        <v>0.4</v>
      </c>
      <c r="J121" s="457">
        <f t="shared" si="22"/>
        <v>0</v>
      </c>
      <c r="K121" s="56"/>
      <c r="L121" s="625"/>
      <c r="M121" s="625"/>
      <c r="N121" s="56"/>
      <c r="O121" s="626"/>
      <c r="P121" s="56"/>
      <c r="Q121" s="625"/>
      <c r="R121" s="422"/>
      <c r="S121" s="423">
        <f>L121*'Grundlagen Anfall'!I111+M121*'Grundlagen Anfall'!K111</f>
        <v>0</v>
      </c>
    </row>
    <row r="122" spans="1:21" ht="15.75" customHeight="1" thickBot="1">
      <c r="A122" s="425" t="s">
        <v>8</v>
      </c>
      <c r="B122" s="758"/>
      <c r="C122" s="759"/>
      <c r="D122" s="759"/>
      <c r="E122" s="759"/>
      <c r="F122" s="760"/>
      <c r="G122" s="477"/>
      <c r="H122" s="621">
        <f t="shared" si="21"/>
        <v>0</v>
      </c>
      <c r="I122" s="428"/>
      <c r="J122" s="448">
        <f t="shared" si="22"/>
        <v>0</v>
      </c>
      <c r="K122" s="628"/>
      <c r="L122" s="629"/>
      <c r="M122" s="628"/>
      <c r="N122" s="628"/>
      <c r="O122" s="629"/>
      <c r="P122" s="628"/>
      <c r="Q122" s="628"/>
      <c r="R122" s="451"/>
      <c r="S122" s="432"/>
    </row>
    <row r="123" spans="1:21" ht="18" customHeight="1" thickBot="1">
      <c r="A123" s="433"/>
      <c r="B123" s="433"/>
      <c r="C123" s="433"/>
      <c r="D123" s="433"/>
      <c r="E123" s="434"/>
      <c r="F123" s="433"/>
      <c r="G123" s="435"/>
      <c r="H123" s="622">
        <f>SUM(H110:H122)</f>
        <v>0</v>
      </c>
      <c r="I123" s="623">
        <f>SUM(K123:Q123)</f>
        <v>0</v>
      </c>
      <c r="J123" s="436">
        <f t="shared" ref="J123:Q123" si="23">SUM(J110:J122)</f>
        <v>0</v>
      </c>
      <c r="K123" s="436">
        <f t="shared" si="23"/>
        <v>0</v>
      </c>
      <c r="L123" s="436">
        <f t="shared" si="23"/>
        <v>0</v>
      </c>
      <c r="M123" s="436">
        <f t="shared" si="23"/>
        <v>0</v>
      </c>
      <c r="N123" s="436">
        <f t="shared" si="23"/>
        <v>0</v>
      </c>
      <c r="O123" s="436">
        <f t="shared" si="23"/>
        <v>0</v>
      </c>
      <c r="P123" s="436">
        <f t="shared" si="23"/>
        <v>0</v>
      </c>
      <c r="Q123" s="436">
        <f t="shared" si="23"/>
        <v>0</v>
      </c>
      <c r="R123" s="438">
        <f>SUM(R110:R122)</f>
        <v>0</v>
      </c>
      <c r="S123" s="439">
        <f>SUM(S110:S122)</f>
        <v>0</v>
      </c>
    </row>
    <row r="124" spans="1:21" ht="12" customHeight="1">
      <c r="L124" s="133"/>
      <c r="M124" s="133"/>
      <c r="N124" s="133"/>
      <c r="O124" s="133"/>
      <c r="P124" s="133"/>
      <c r="Q124" s="133"/>
      <c r="R124" s="492">
        <f>SUM(R21,R31,R53,R63,R75,R89,R107,R123)</f>
        <v>0</v>
      </c>
      <c r="S124" s="492">
        <f>SUM(S21,S31,S53,S63,S75,S89,S107,S123)</f>
        <v>0</v>
      </c>
    </row>
    <row r="125" spans="1:21" ht="15" customHeight="1">
      <c r="A125" s="261" t="s">
        <v>102</v>
      </c>
      <c r="F125" s="139"/>
      <c r="H125" s="5"/>
      <c r="I125" s="139"/>
      <c r="J125" s="139"/>
      <c r="O125" s="143"/>
      <c r="P125" s="143"/>
      <c r="Q125" s="3"/>
      <c r="R125" s="3"/>
      <c r="S125" s="3"/>
    </row>
    <row r="126" spans="1:21" ht="18" customHeight="1">
      <c r="A126" s="751"/>
      <c r="B126" s="751"/>
      <c r="C126" s="751"/>
      <c r="D126" s="751"/>
      <c r="E126" s="751"/>
      <c r="F126" s="751"/>
      <c r="G126" s="751"/>
      <c r="H126" s="751"/>
      <c r="I126" s="751"/>
      <c r="J126" s="751"/>
      <c r="K126" s="751"/>
      <c r="L126" s="751"/>
      <c r="M126" s="751"/>
      <c r="N126" s="751"/>
      <c r="O126" s="751"/>
      <c r="P126" s="751"/>
      <c r="Q126" s="751"/>
      <c r="R126" s="751"/>
      <c r="S126" s="751"/>
    </row>
    <row r="127" spans="1:21" ht="18" customHeight="1">
      <c r="A127" s="751"/>
      <c r="B127" s="751"/>
      <c r="C127" s="751"/>
      <c r="D127" s="751"/>
      <c r="E127" s="751"/>
      <c r="F127" s="751"/>
      <c r="G127" s="751"/>
      <c r="H127" s="751"/>
      <c r="I127" s="751"/>
      <c r="J127" s="751"/>
      <c r="K127" s="751"/>
      <c r="L127" s="751"/>
      <c r="M127" s="751"/>
      <c r="N127" s="751"/>
      <c r="O127" s="751"/>
      <c r="P127" s="751"/>
      <c r="Q127" s="751"/>
      <c r="R127" s="751"/>
      <c r="S127" s="751"/>
    </row>
    <row r="128" spans="1:21" ht="18" customHeight="1">
      <c r="A128" s="751"/>
      <c r="B128" s="751"/>
      <c r="C128" s="751"/>
      <c r="D128" s="751"/>
      <c r="E128" s="751"/>
      <c r="F128" s="751"/>
      <c r="G128" s="751"/>
      <c r="H128" s="751"/>
      <c r="I128" s="751"/>
      <c r="J128" s="751"/>
      <c r="K128" s="751"/>
      <c r="L128" s="751"/>
      <c r="M128" s="751"/>
      <c r="N128" s="751"/>
      <c r="O128" s="751"/>
      <c r="P128" s="751"/>
      <c r="Q128" s="751"/>
      <c r="R128" s="751"/>
      <c r="S128" s="751"/>
    </row>
    <row r="129" spans="1:19" ht="18" customHeight="1">
      <c r="A129" s="751"/>
      <c r="B129" s="751"/>
      <c r="C129" s="751"/>
      <c r="D129" s="751"/>
      <c r="E129" s="751"/>
      <c r="F129" s="751"/>
      <c r="G129" s="751"/>
      <c r="H129" s="751"/>
      <c r="I129" s="751"/>
      <c r="J129" s="751"/>
      <c r="K129" s="751"/>
      <c r="L129" s="751"/>
      <c r="M129" s="751"/>
      <c r="N129" s="751"/>
      <c r="O129" s="751"/>
      <c r="P129" s="751"/>
      <c r="Q129" s="751"/>
      <c r="R129" s="751"/>
      <c r="S129" s="751"/>
    </row>
    <row r="130" spans="1:19" ht="18" customHeight="1">
      <c r="A130" s="751"/>
      <c r="B130" s="751"/>
      <c r="C130" s="751"/>
      <c r="D130" s="751"/>
      <c r="E130" s="751"/>
      <c r="F130" s="751"/>
      <c r="G130" s="751"/>
      <c r="H130" s="751"/>
      <c r="I130" s="751"/>
      <c r="J130" s="751"/>
      <c r="K130" s="751"/>
      <c r="L130" s="751"/>
      <c r="M130" s="751"/>
      <c r="N130" s="751"/>
      <c r="O130" s="751"/>
      <c r="P130" s="751"/>
      <c r="Q130" s="751"/>
      <c r="R130" s="751"/>
      <c r="S130" s="751"/>
    </row>
  </sheetData>
  <sheetProtection password="D19B" sheet="1" objects="1" scenarios="1"/>
  <dataConsolidate>
    <dataRefs count="1">
      <dataRef ref="Q10:Q12" sheet="Tierbestand"/>
    </dataRefs>
  </dataConsolidate>
  <mergeCells count="15">
    <mergeCell ref="R8:S9"/>
    <mergeCell ref="B106:F106"/>
    <mergeCell ref="R4:S4"/>
    <mergeCell ref="B20:F20"/>
    <mergeCell ref="A126:S130"/>
    <mergeCell ref="B74:F74"/>
    <mergeCell ref="B88:F88"/>
    <mergeCell ref="B122:F122"/>
    <mergeCell ref="B62:F62"/>
    <mergeCell ref="H2:K2"/>
    <mergeCell ref="M2:Q2"/>
    <mergeCell ref="C2:F2"/>
    <mergeCell ref="B30:F30"/>
    <mergeCell ref="B52:F52"/>
    <mergeCell ref="K8:Q8"/>
  </mergeCells>
  <phoneticPr fontId="0" type="noConversion"/>
  <pageMargins left="0.78740157480314965" right="0.59055118110236227" top="0.39370078740157483" bottom="0.39370078740157483" header="0.31496062992125984" footer="0.31496062992125984"/>
  <pageSetup paperSize="9" scale="68" fitToHeight="0" orientation="portrait" r:id="rId1"/>
  <headerFooter alignWithMargins="0">
    <oddFooter>&amp;L&amp;9 &amp;F / &amp;A / Druckdatum: &amp;D&amp;R&amp;P / &amp;N</oddFooter>
  </headerFooter>
  <rowBreaks count="1" manualBreakCount="1">
    <brk id="6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S56"/>
  <sheetViews>
    <sheetView showGridLines="0" zoomScaleNormal="100" workbookViewId="0">
      <selection activeCell="M3" sqref="M3"/>
    </sheetView>
  </sheetViews>
  <sheetFormatPr baseColWidth="10" defaultRowHeight="12.75"/>
  <cols>
    <col min="1" max="1" width="10.7109375" style="3" customWidth="1"/>
    <col min="2" max="2" width="2.7109375" style="3" customWidth="1"/>
    <col min="3" max="4" width="1.7109375" style="3" customWidth="1"/>
    <col min="5" max="5" width="10.7109375" style="3" customWidth="1"/>
    <col min="6" max="6" width="7.7109375" style="3" customWidth="1"/>
    <col min="7" max="8" width="4.140625" style="3" customWidth="1"/>
    <col min="9" max="9" width="10.7109375" style="3" customWidth="1"/>
    <col min="10" max="10" width="6.7109375" style="3" customWidth="1"/>
    <col min="11" max="11" width="4.7109375" style="3" customWidth="1"/>
    <col min="12" max="12" width="2.7109375" style="3" customWidth="1"/>
    <col min="13" max="14" width="11.7109375" style="3" customWidth="1"/>
    <col min="15" max="15" width="12.7109375" style="3" customWidth="1"/>
    <col min="16" max="16384" width="11.42578125" style="3"/>
  </cols>
  <sheetData>
    <row r="1" spans="1:19" s="28" customFormat="1" ht="57" customHeight="1">
      <c r="K1" s="104"/>
      <c r="L1" s="104"/>
      <c r="M1" s="104"/>
      <c r="N1" s="106"/>
      <c r="P1" s="105"/>
    </row>
    <row r="2" spans="1:19" s="717" customFormat="1" ht="33" customHeight="1">
      <c r="A2" s="714" t="s">
        <v>78</v>
      </c>
      <c r="B2" s="714"/>
      <c r="C2" s="741" t="s">
        <v>341</v>
      </c>
      <c r="D2" s="741"/>
      <c r="E2" s="741"/>
      <c r="F2" s="741"/>
      <c r="G2" s="718"/>
      <c r="H2" s="742" t="s">
        <v>343</v>
      </c>
      <c r="I2" s="742"/>
      <c r="J2" s="742"/>
      <c r="K2" s="742"/>
      <c r="M2" s="742" t="str">
        <f>Zusammenfassung!L2</f>
        <v>Stansstaderstrasse 59, 6371 Stans
041 618 40 40, www.nw.ch</v>
      </c>
      <c r="N2" s="742"/>
      <c r="O2" s="742"/>
      <c r="P2" s="721"/>
    </row>
    <row r="3" spans="1:19" ht="6" customHeight="1"/>
    <row r="4" spans="1:19" s="123" customFormat="1" ht="27" customHeight="1">
      <c r="A4" s="116" t="s">
        <v>189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745" t="str">
        <f>Zusammenfassung!N4</f>
        <v>Version 01.14.
21.01.2014/sn</v>
      </c>
      <c r="O4" s="745"/>
      <c r="P4" s="605"/>
      <c r="Q4" s="118"/>
      <c r="R4" s="118"/>
      <c r="S4" s="118"/>
    </row>
    <row r="5" spans="1:19" ht="7.5" customHeight="1">
      <c r="A5" s="28"/>
      <c r="B5" s="28"/>
      <c r="C5" s="28"/>
      <c r="D5" s="28"/>
      <c r="E5" s="104"/>
      <c r="F5" s="104"/>
      <c r="G5" s="104"/>
      <c r="H5" s="104"/>
      <c r="I5" s="104"/>
      <c r="J5" s="104"/>
      <c r="K5" s="28"/>
      <c r="L5" s="28"/>
      <c r="M5" s="28"/>
      <c r="N5" s="28"/>
      <c r="O5" s="268"/>
    </row>
    <row r="6" spans="1:19" s="269" customFormat="1" ht="21" customHeight="1">
      <c r="A6" s="124" t="s">
        <v>109</v>
      </c>
      <c r="B6" s="124"/>
      <c r="C6" s="124"/>
      <c r="D6" s="124"/>
      <c r="E6" s="124"/>
      <c r="F6" s="124"/>
      <c r="G6" s="124"/>
      <c r="H6" s="124"/>
      <c r="I6" s="124"/>
      <c r="J6" s="124"/>
      <c r="K6" s="125"/>
      <c r="L6" s="125"/>
      <c r="M6" s="125"/>
      <c r="N6" s="127"/>
      <c r="O6" s="125"/>
    </row>
    <row r="7" spans="1:19" s="28" customFormat="1" ht="9" customHeight="1" thickBot="1">
      <c r="A7" s="270"/>
      <c r="B7" s="270"/>
      <c r="C7" s="270"/>
      <c r="D7" s="270"/>
      <c r="E7" s="271"/>
      <c r="F7" s="272"/>
      <c r="G7" s="272"/>
      <c r="H7" s="272"/>
      <c r="I7" s="271"/>
      <c r="J7" s="271"/>
      <c r="K7" s="273"/>
      <c r="L7" s="273"/>
      <c r="M7" s="131"/>
      <c r="N7" s="274"/>
      <c r="O7" s="275"/>
    </row>
    <row r="8" spans="1:19" s="283" customFormat="1" ht="18" customHeight="1" thickBot="1">
      <c r="A8" s="276" t="s">
        <v>119</v>
      </c>
      <c r="B8" s="277"/>
      <c r="C8" s="277"/>
      <c r="D8" s="277"/>
      <c r="E8" s="277"/>
      <c r="F8" s="277"/>
      <c r="G8" s="277"/>
      <c r="H8" s="277"/>
      <c r="I8" s="220"/>
      <c r="J8" s="220"/>
      <c r="K8" s="278" t="s">
        <v>19</v>
      </c>
      <c r="L8" s="279"/>
      <c r="M8" s="277" t="s">
        <v>111</v>
      </c>
      <c r="N8" s="280" t="s">
        <v>359</v>
      </c>
      <c r="O8" s="281" t="s">
        <v>180</v>
      </c>
      <c r="P8" s="282"/>
    </row>
    <row r="9" spans="1:19" ht="15" customHeight="1">
      <c r="A9" s="284" t="s">
        <v>256</v>
      </c>
      <c r="B9" s="285"/>
      <c r="C9" s="285"/>
      <c r="D9" s="285"/>
      <c r="E9" s="285"/>
      <c r="F9" s="285"/>
      <c r="G9" s="285"/>
      <c r="H9" s="285"/>
      <c r="I9" s="286"/>
      <c r="J9" s="286"/>
      <c r="K9" s="287" t="s">
        <v>71</v>
      </c>
      <c r="L9" s="288"/>
      <c r="M9" s="289">
        <f>Tierbestand!J21</f>
        <v>0</v>
      </c>
      <c r="N9" s="726">
        <v>2.4</v>
      </c>
      <c r="O9" s="290">
        <f t="shared" ref="O9:O24" si="0">M9*N9</f>
        <v>0</v>
      </c>
      <c r="P9" s="291"/>
    </row>
    <row r="10" spans="1:19" ht="15" customHeight="1">
      <c r="A10" s="292" t="s">
        <v>257</v>
      </c>
      <c r="B10" s="293"/>
      <c r="C10" s="293"/>
      <c r="D10" s="293"/>
      <c r="E10" s="293"/>
      <c r="F10" s="293"/>
      <c r="G10" s="293"/>
      <c r="H10" s="293"/>
      <c r="I10" s="294"/>
      <c r="J10" s="294"/>
      <c r="K10" s="295" t="s">
        <v>71</v>
      </c>
      <c r="L10" s="296"/>
      <c r="M10" s="297">
        <f>Tierbestand!J31</f>
        <v>0</v>
      </c>
      <c r="N10" s="626">
        <v>2.4</v>
      </c>
      <c r="O10" s="298">
        <f>M10*N10</f>
        <v>0</v>
      </c>
      <c r="P10" s="291"/>
    </row>
    <row r="11" spans="1:19" ht="15" customHeight="1">
      <c r="A11" s="292" t="s">
        <v>258</v>
      </c>
      <c r="B11" s="293"/>
      <c r="C11" s="293"/>
      <c r="D11" s="293"/>
      <c r="E11" s="293"/>
      <c r="F11" s="293"/>
      <c r="G11" s="293"/>
      <c r="H11" s="293"/>
      <c r="I11" s="294"/>
      <c r="J11" s="294"/>
      <c r="K11" s="295" t="s">
        <v>71</v>
      </c>
      <c r="L11" s="296"/>
      <c r="M11" s="297">
        <f>Tierbestand!J53</f>
        <v>0</v>
      </c>
      <c r="N11" s="626">
        <v>2.4</v>
      </c>
      <c r="O11" s="298">
        <f>M11*N11</f>
        <v>0</v>
      </c>
      <c r="P11" s="291"/>
    </row>
    <row r="12" spans="1:19" ht="15" customHeight="1">
      <c r="A12" s="299" t="s">
        <v>113</v>
      </c>
      <c r="B12" s="300"/>
      <c r="C12" s="300"/>
      <c r="D12" s="300"/>
      <c r="E12" s="300"/>
      <c r="F12" s="300"/>
      <c r="G12" s="300"/>
      <c r="H12" s="300"/>
      <c r="I12" s="301"/>
      <c r="J12" s="301"/>
      <c r="K12" s="302" t="s">
        <v>71</v>
      </c>
      <c r="L12" s="303"/>
      <c r="M12" s="304">
        <f>Tierbestand!J63</f>
        <v>0</v>
      </c>
      <c r="N12" s="93">
        <v>2.4</v>
      </c>
      <c r="O12" s="298">
        <f>M12*N12</f>
        <v>0</v>
      </c>
      <c r="P12" s="291"/>
    </row>
    <row r="13" spans="1:19" ht="15" customHeight="1">
      <c r="A13" s="299" t="s">
        <v>112</v>
      </c>
      <c r="B13" s="300"/>
      <c r="C13" s="300"/>
      <c r="D13" s="300"/>
      <c r="E13" s="300"/>
      <c r="F13" s="300"/>
      <c r="G13" s="300"/>
      <c r="H13" s="300"/>
      <c r="I13" s="301"/>
      <c r="J13" s="301"/>
      <c r="K13" s="302" t="s">
        <v>71</v>
      </c>
      <c r="L13" s="303"/>
      <c r="M13" s="304">
        <f>Tierbestand!J75</f>
        <v>0</v>
      </c>
      <c r="N13" s="93">
        <v>2.4</v>
      </c>
      <c r="O13" s="298">
        <f>M13*N13</f>
        <v>0</v>
      </c>
      <c r="P13" s="291"/>
    </row>
    <row r="14" spans="1:19" ht="15" customHeight="1">
      <c r="A14" s="306" t="s">
        <v>174</v>
      </c>
      <c r="B14" s="28"/>
      <c r="C14" s="28"/>
      <c r="D14" s="28"/>
      <c r="E14" s="28"/>
      <c r="F14" s="28"/>
      <c r="G14" s="28"/>
      <c r="H14" s="28"/>
      <c r="I14" s="28"/>
      <c r="J14" s="28"/>
      <c r="K14" s="302" t="s">
        <v>71</v>
      </c>
      <c r="L14" s="28"/>
      <c r="M14" s="304">
        <f>Tierbestand!J89</f>
        <v>0</v>
      </c>
      <c r="N14" s="93">
        <v>2.4</v>
      </c>
      <c r="O14" s="298">
        <f>M14*N14</f>
        <v>0</v>
      </c>
      <c r="P14" s="291"/>
    </row>
    <row r="15" spans="1:19" ht="15" customHeight="1">
      <c r="A15" s="307" t="s">
        <v>114</v>
      </c>
      <c r="B15" s="308"/>
      <c r="C15" s="308"/>
      <c r="D15" s="308"/>
      <c r="E15" s="308"/>
      <c r="F15" s="308"/>
      <c r="G15" s="308"/>
      <c r="H15" s="308"/>
      <c r="I15" s="309"/>
      <c r="J15" s="309"/>
      <c r="K15" s="310" t="s">
        <v>71</v>
      </c>
      <c r="L15" s="311"/>
      <c r="M15" s="312">
        <v>0</v>
      </c>
      <c r="N15" s="727">
        <v>6</v>
      </c>
      <c r="O15" s="313">
        <f t="shared" si="0"/>
        <v>0</v>
      </c>
      <c r="P15" s="291"/>
    </row>
    <row r="16" spans="1:19" ht="15" customHeight="1">
      <c r="A16" s="314" t="s">
        <v>20</v>
      </c>
      <c r="B16" s="315"/>
      <c r="C16" s="315"/>
      <c r="D16" s="315"/>
      <c r="E16" s="315"/>
      <c r="F16" s="315"/>
      <c r="G16" s="315"/>
      <c r="H16" s="315"/>
      <c r="I16" s="316"/>
      <c r="J16" s="316"/>
      <c r="K16" s="317" t="s">
        <v>73</v>
      </c>
      <c r="L16" s="318"/>
      <c r="M16" s="319">
        <f>Zusammenfassung!$L$28/0.17</f>
        <v>0</v>
      </c>
      <c r="N16" s="89">
        <v>0.5</v>
      </c>
      <c r="O16" s="321">
        <f t="shared" si="0"/>
        <v>0</v>
      </c>
      <c r="P16" s="291"/>
    </row>
    <row r="17" spans="1:16" ht="15" customHeight="1">
      <c r="A17" s="322" t="s">
        <v>114</v>
      </c>
      <c r="B17" s="323"/>
      <c r="C17" s="323"/>
      <c r="D17" s="323"/>
      <c r="E17" s="323"/>
      <c r="F17" s="323"/>
      <c r="G17" s="323"/>
      <c r="H17" s="323"/>
      <c r="I17" s="324"/>
      <c r="J17" s="324"/>
      <c r="K17" s="325" t="s">
        <v>73</v>
      </c>
      <c r="L17" s="326"/>
      <c r="M17" s="327">
        <v>0</v>
      </c>
      <c r="N17" s="728">
        <v>1.2</v>
      </c>
      <c r="O17" s="328">
        <f t="shared" si="0"/>
        <v>0</v>
      </c>
      <c r="P17" s="291"/>
    </row>
    <row r="18" spans="1:16" ht="15" customHeight="1">
      <c r="A18" s="292" t="s">
        <v>21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 t="s">
        <v>318</v>
      </c>
      <c r="L18" s="296"/>
      <c r="M18" s="630">
        <f>SUM(Tierbestand!J110,Tierbestand!J111)</f>
        <v>0</v>
      </c>
      <c r="N18" s="626">
        <v>0.3</v>
      </c>
      <c r="O18" s="298">
        <f t="shared" si="0"/>
        <v>0</v>
      </c>
      <c r="P18" s="291"/>
    </row>
    <row r="19" spans="1:16" ht="15" customHeight="1">
      <c r="A19" s="322" t="s">
        <v>22</v>
      </c>
      <c r="B19" s="323"/>
      <c r="C19" s="323"/>
      <c r="D19" s="323"/>
      <c r="E19" s="323"/>
      <c r="F19" s="323"/>
      <c r="G19" s="323"/>
      <c r="H19" s="323"/>
      <c r="I19" s="324"/>
      <c r="J19" s="324"/>
      <c r="K19" s="325" t="s">
        <v>319</v>
      </c>
      <c r="L19" s="326"/>
      <c r="M19" s="631">
        <f>SUM(Tierbestand!J112,Tierbestand!J113,Tierbestand!J114,Tierbestand!J115,Tierbestand!J117,Tierbestand!J119,Tierbestand!J121)</f>
        <v>0</v>
      </c>
      <c r="N19" s="728">
        <v>0.5</v>
      </c>
      <c r="O19" s="328">
        <f t="shared" si="0"/>
        <v>0</v>
      </c>
      <c r="P19" s="291"/>
    </row>
    <row r="20" spans="1:16" ht="15" customHeight="1">
      <c r="A20" s="292" t="s">
        <v>273</v>
      </c>
      <c r="B20" s="293"/>
      <c r="C20" s="293"/>
      <c r="D20" s="293"/>
      <c r="E20" s="293"/>
      <c r="F20" s="293"/>
      <c r="G20" s="293"/>
      <c r="H20" s="293"/>
      <c r="I20" s="294"/>
      <c r="J20" s="294"/>
      <c r="K20" s="295" t="s">
        <v>117</v>
      </c>
      <c r="L20" s="296"/>
      <c r="M20" s="102">
        <f>Güllegruben_Mistplatz!R25</f>
        <v>0</v>
      </c>
      <c r="N20" s="626">
        <v>1.2</v>
      </c>
      <c r="O20" s="298">
        <f t="shared" si="0"/>
        <v>0</v>
      </c>
    </row>
    <row r="21" spans="1:16" ht="15" customHeight="1">
      <c r="A21" s="292" t="s">
        <v>274</v>
      </c>
      <c r="B21" s="293"/>
      <c r="C21" s="293"/>
      <c r="D21" s="293"/>
      <c r="E21" s="293"/>
      <c r="F21" s="293"/>
      <c r="G21" s="293"/>
      <c r="H21" s="293"/>
      <c r="I21" s="294"/>
      <c r="J21" s="294"/>
      <c r="K21" s="302" t="s">
        <v>117</v>
      </c>
      <c r="L21" s="296"/>
      <c r="M21" s="102">
        <f>Güllegruben_Mistplatz!R57</f>
        <v>0</v>
      </c>
      <c r="N21" s="626">
        <v>1.2</v>
      </c>
      <c r="O21" s="298">
        <f t="shared" si="0"/>
        <v>0</v>
      </c>
    </row>
    <row r="22" spans="1:16" ht="15" customHeight="1">
      <c r="A22" s="299" t="s">
        <v>115</v>
      </c>
      <c r="B22" s="300"/>
      <c r="C22" s="300"/>
      <c r="D22" s="300"/>
      <c r="E22" s="300"/>
      <c r="F22" s="300"/>
      <c r="G22" s="300"/>
      <c r="H22" s="300"/>
      <c r="I22" s="301"/>
      <c r="J22" s="301"/>
      <c r="K22" s="302" t="s">
        <v>117</v>
      </c>
      <c r="L22" s="303"/>
      <c r="M22" s="329">
        <v>0</v>
      </c>
      <c r="N22" s="93">
        <v>1.2</v>
      </c>
      <c r="O22" s="330">
        <f t="shared" si="0"/>
        <v>0</v>
      </c>
    </row>
    <row r="23" spans="1:16" ht="15" customHeight="1">
      <c r="A23" s="299" t="s">
        <v>353</v>
      </c>
      <c r="B23" s="300"/>
      <c r="C23" s="300"/>
      <c r="D23" s="300"/>
      <c r="E23" s="300"/>
      <c r="F23" s="300"/>
      <c r="G23" s="300"/>
      <c r="H23" s="300"/>
      <c r="I23" s="301"/>
      <c r="J23" s="301"/>
      <c r="K23" s="302" t="s">
        <v>117</v>
      </c>
      <c r="L23" s="303"/>
      <c r="M23" s="329">
        <v>0</v>
      </c>
      <c r="N23" s="93">
        <v>0.3</v>
      </c>
      <c r="O23" s="330">
        <f t="shared" si="0"/>
        <v>0</v>
      </c>
    </row>
    <row r="24" spans="1:16" ht="15" customHeight="1">
      <c r="A24" s="322" t="s">
        <v>116</v>
      </c>
      <c r="B24" s="323"/>
      <c r="C24" s="323"/>
      <c r="D24" s="323"/>
      <c r="E24" s="323"/>
      <c r="F24" s="323"/>
      <c r="G24" s="323"/>
      <c r="H24" s="323"/>
      <c r="I24" s="324"/>
      <c r="J24" s="324"/>
      <c r="K24" s="325" t="s">
        <v>117</v>
      </c>
      <c r="L24" s="326"/>
      <c r="M24" s="331">
        <v>0</v>
      </c>
      <c r="N24" s="728">
        <v>1.2</v>
      </c>
      <c r="O24" s="328">
        <f t="shared" si="0"/>
        <v>0</v>
      </c>
    </row>
    <row r="25" spans="1:16" ht="15" customHeight="1">
      <c r="A25" s="314" t="s">
        <v>357</v>
      </c>
      <c r="B25" s="315"/>
      <c r="C25" s="315"/>
      <c r="D25" s="315"/>
      <c r="E25" s="315"/>
      <c r="F25" s="771"/>
      <c r="G25" s="771"/>
      <c r="H25" s="771"/>
      <c r="I25" s="771"/>
      <c r="J25" s="771"/>
      <c r="K25" s="317" t="s">
        <v>117</v>
      </c>
      <c r="L25" s="318"/>
      <c r="M25" s="734"/>
      <c r="N25" s="332"/>
      <c r="O25" s="333">
        <v>0</v>
      </c>
    </row>
    <row r="26" spans="1:16" ht="15" customHeight="1">
      <c r="A26" s="314" t="s">
        <v>23</v>
      </c>
      <c r="B26" s="315" t="s">
        <v>24</v>
      </c>
      <c r="C26" s="315"/>
      <c r="D26" s="315"/>
      <c r="E26" s="316"/>
      <c r="F26" s="315"/>
      <c r="G26" s="315"/>
      <c r="H26" s="315"/>
      <c r="I26" s="334"/>
      <c r="J26" s="334"/>
      <c r="K26" s="317" t="s">
        <v>344</v>
      </c>
      <c r="L26" s="318"/>
      <c r="M26" s="733">
        <v>0</v>
      </c>
      <c r="N26" s="320" t="s">
        <v>345</v>
      </c>
      <c r="O26" s="336">
        <f>IF(M26&lt;=0.99,0,1*6+0.6*M26)</f>
        <v>0</v>
      </c>
    </row>
    <row r="27" spans="1:16" ht="15" customHeight="1">
      <c r="A27" s="299"/>
      <c r="B27" s="300" t="s">
        <v>25</v>
      </c>
      <c r="C27" s="300"/>
      <c r="D27" s="300"/>
      <c r="E27" s="301"/>
      <c r="F27" s="300"/>
      <c r="G27" s="300"/>
      <c r="H27" s="300"/>
      <c r="I27" s="206"/>
      <c r="J27" s="206"/>
      <c r="K27" s="302" t="s">
        <v>346</v>
      </c>
      <c r="L27" s="303"/>
      <c r="M27" s="329">
        <v>0</v>
      </c>
      <c r="N27" s="305" t="s">
        <v>347</v>
      </c>
      <c r="O27" s="337">
        <f>M27*0.018</f>
        <v>0</v>
      </c>
    </row>
    <row r="28" spans="1:16" ht="15" customHeight="1">
      <c r="A28" s="299"/>
      <c r="B28" s="300" t="s">
        <v>26</v>
      </c>
      <c r="C28" s="300"/>
      <c r="D28" s="300"/>
      <c r="E28" s="301"/>
      <c r="F28" s="300"/>
      <c r="G28" s="300"/>
      <c r="H28" s="300"/>
      <c r="I28" s="338"/>
      <c r="J28" s="338"/>
      <c r="K28" s="302" t="s">
        <v>344</v>
      </c>
      <c r="L28" s="303"/>
      <c r="M28" s="329">
        <v>0</v>
      </c>
      <c r="N28" s="305" t="s">
        <v>352</v>
      </c>
      <c r="O28" s="337">
        <f>IF(M28&lt;=0.99,0,1*36+6*M28)</f>
        <v>0</v>
      </c>
    </row>
    <row r="29" spans="1:16" ht="15" customHeight="1">
      <c r="A29" s="299"/>
      <c r="B29" s="300" t="s">
        <v>349</v>
      </c>
      <c r="C29" s="300"/>
      <c r="D29" s="300"/>
      <c r="E29" s="301"/>
      <c r="F29" s="300"/>
      <c r="G29" s="300"/>
      <c r="H29" s="300"/>
      <c r="I29" s="206"/>
      <c r="J29" s="206"/>
      <c r="K29" s="302" t="s">
        <v>344</v>
      </c>
      <c r="L29" s="303"/>
      <c r="M29" s="329">
        <v>0</v>
      </c>
      <c r="N29" s="305" t="s">
        <v>354</v>
      </c>
      <c r="O29" s="337">
        <f>IF(M29&lt;=0.99,0,1*48+6*M29)</f>
        <v>0</v>
      </c>
    </row>
    <row r="30" spans="1:16" ht="15" customHeight="1">
      <c r="A30" s="299"/>
      <c r="B30" s="300" t="s">
        <v>348</v>
      </c>
      <c r="C30" s="300"/>
      <c r="D30" s="300"/>
      <c r="E30" s="301"/>
      <c r="F30" s="300"/>
      <c r="G30" s="300"/>
      <c r="H30" s="300"/>
      <c r="I30" s="206"/>
      <c r="J30" s="206"/>
      <c r="K30" s="302" t="s">
        <v>355</v>
      </c>
      <c r="L30" s="303"/>
      <c r="M30" s="329">
        <v>0</v>
      </c>
      <c r="N30" s="305" t="s">
        <v>356</v>
      </c>
      <c r="O30" s="337">
        <f>M30*6</f>
        <v>0</v>
      </c>
    </row>
    <row r="31" spans="1:16" ht="15" customHeight="1">
      <c r="A31" s="385"/>
      <c r="B31" s="271" t="s">
        <v>351</v>
      </c>
      <c r="C31" s="271"/>
      <c r="D31" s="271"/>
      <c r="E31" s="28"/>
      <c r="F31" s="271"/>
      <c r="G31" s="271"/>
      <c r="H31" s="271"/>
      <c r="I31" s="196"/>
      <c r="J31" s="196"/>
      <c r="K31" s="273" t="s">
        <v>350</v>
      </c>
      <c r="L31" s="722"/>
      <c r="M31" s="723">
        <v>0</v>
      </c>
      <c r="N31" s="724">
        <v>300</v>
      </c>
      <c r="O31" s="725">
        <f>M31*N31</f>
        <v>0</v>
      </c>
    </row>
    <row r="32" spans="1:16" ht="15" customHeight="1" thickBot="1">
      <c r="A32" s="339" t="s">
        <v>118</v>
      </c>
      <c r="B32" s="340"/>
      <c r="C32" s="340"/>
      <c r="D32" s="340"/>
      <c r="E32" s="340"/>
      <c r="F32" s="769"/>
      <c r="G32" s="769"/>
      <c r="H32" s="769"/>
      <c r="I32" s="769"/>
      <c r="J32" s="769"/>
      <c r="K32" s="341" t="s">
        <v>133</v>
      </c>
      <c r="L32" s="342"/>
      <c r="M32" s="343"/>
      <c r="N32" s="344"/>
      <c r="O32" s="345">
        <v>0</v>
      </c>
    </row>
    <row r="33" spans="1:15" ht="18" customHeight="1" thickBot="1">
      <c r="A33" s="276" t="s">
        <v>171</v>
      </c>
      <c r="B33" s="346"/>
      <c r="C33" s="346"/>
      <c r="D33" s="346"/>
      <c r="E33" s="347"/>
      <c r="F33" s="347"/>
      <c r="G33" s="347"/>
      <c r="H33" s="347"/>
      <c r="I33" s="348"/>
      <c r="J33" s="348"/>
      <c r="K33" s="347"/>
      <c r="L33" s="347"/>
      <c r="M33" s="349"/>
      <c r="N33" s="349"/>
      <c r="O33" s="350">
        <f>SUM(O9:O32)</f>
        <v>0</v>
      </c>
    </row>
    <row r="34" spans="1:15" ht="24" customHeight="1" thickBot="1">
      <c r="A34" s="735" t="s">
        <v>360</v>
      </c>
      <c r="B34" s="351"/>
      <c r="C34" s="351"/>
      <c r="D34" s="351"/>
      <c r="E34" s="271"/>
      <c r="F34" s="271"/>
      <c r="G34" s="271"/>
      <c r="H34" s="271"/>
      <c r="I34" s="272"/>
      <c r="J34" s="272"/>
      <c r="K34" s="271"/>
      <c r="L34" s="271"/>
      <c r="M34" s="131"/>
      <c r="N34" s="131"/>
      <c r="O34" s="352"/>
    </row>
    <row r="35" spans="1:15" s="361" customFormat="1" ht="18" customHeight="1">
      <c r="A35" s="353" t="s">
        <v>120</v>
      </c>
      <c r="B35" s="354"/>
      <c r="C35" s="354"/>
      <c r="D35" s="354"/>
      <c r="E35" s="229"/>
      <c r="F35" s="229"/>
      <c r="G35" s="229"/>
      <c r="H35" s="229"/>
      <c r="I35" s="355"/>
      <c r="J35" s="355"/>
      <c r="K35" s="356" t="s">
        <v>19</v>
      </c>
      <c r="L35" s="357"/>
      <c r="M35" s="358" t="s">
        <v>111</v>
      </c>
      <c r="N35" s="359" t="s">
        <v>359</v>
      </c>
      <c r="O35" s="360" t="s">
        <v>180</v>
      </c>
    </row>
    <row r="36" spans="1:15" ht="15" customHeight="1">
      <c r="A36" s="314" t="s">
        <v>361</v>
      </c>
      <c r="B36" s="315"/>
      <c r="C36" s="315"/>
      <c r="D36" s="315"/>
      <c r="E36" s="315"/>
      <c r="F36" s="315"/>
      <c r="G36" s="315"/>
      <c r="H36" s="315"/>
      <c r="I36" s="316"/>
      <c r="J36" s="316"/>
      <c r="K36" s="317" t="s">
        <v>27</v>
      </c>
      <c r="L36" s="362"/>
      <c r="M36" s="335">
        <v>0</v>
      </c>
      <c r="N36" s="320">
        <v>60</v>
      </c>
      <c r="O36" s="321">
        <f>M36*N36</f>
        <v>0</v>
      </c>
    </row>
    <row r="37" spans="1:15" ht="15" customHeight="1">
      <c r="A37" s="299" t="s">
        <v>362</v>
      </c>
      <c r="B37" s="300"/>
      <c r="C37" s="300"/>
      <c r="D37" s="300"/>
      <c r="E37" s="300"/>
      <c r="F37" s="300"/>
      <c r="G37" s="300"/>
      <c r="H37" s="300"/>
      <c r="I37" s="301"/>
      <c r="J37" s="301"/>
      <c r="K37" s="302" t="s">
        <v>27</v>
      </c>
      <c r="L37" s="363"/>
      <c r="M37" s="329">
        <v>0</v>
      </c>
      <c r="N37" s="305">
        <v>42</v>
      </c>
      <c r="O37" s="330">
        <f>M37*N37</f>
        <v>0</v>
      </c>
    </row>
    <row r="38" spans="1:15" ht="15" customHeight="1">
      <c r="A38" s="299" t="s">
        <v>363</v>
      </c>
      <c r="B38" s="300"/>
      <c r="C38" s="300"/>
      <c r="D38" s="300"/>
      <c r="E38" s="300"/>
      <c r="F38" s="300"/>
      <c r="G38" s="300"/>
      <c r="H38" s="300"/>
      <c r="I38" s="301"/>
      <c r="J38" s="301"/>
      <c r="K38" s="302" t="s">
        <v>27</v>
      </c>
      <c r="L38" s="363"/>
      <c r="M38" s="329">
        <v>0</v>
      </c>
      <c r="N38" s="305">
        <v>24</v>
      </c>
      <c r="O38" s="330">
        <f>M38*N38</f>
        <v>0</v>
      </c>
    </row>
    <row r="39" spans="1:15" ht="15" customHeight="1">
      <c r="A39" s="299" t="s">
        <v>357</v>
      </c>
      <c r="B39" s="300"/>
      <c r="C39" s="300"/>
      <c r="D39" s="300"/>
      <c r="E39" s="300"/>
      <c r="F39" s="770"/>
      <c r="G39" s="770"/>
      <c r="H39" s="770"/>
      <c r="I39" s="770"/>
      <c r="J39" s="770"/>
      <c r="K39" s="302" t="s">
        <v>133</v>
      </c>
      <c r="L39" s="363"/>
      <c r="M39" s="364"/>
      <c r="N39" s="305"/>
      <c r="O39" s="365">
        <v>0</v>
      </c>
    </row>
    <row r="40" spans="1:15" ht="15" customHeight="1">
      <c r="A40" s="299" t="s">
        <v>358</v>
      </c>
      <c r="B40" s="300"/>
      <c r="C40" s="300"/>
      <c r="D40" s="300"/>
      <c r="E40" s="300"/>
      <c r="F40" s="770"/>
      <c r="G40" s="770"/>
      <c r="H40" s="770"/>
      <c r="I40" s="770"/>
      <c r="J40" s="770"/>
      <c r="K40" s="302" t="s">
        <v>133</v>
      </c>
      <c r="L40" s="363"/>
      <c r="M40" s="364"/>
      <c r="N40" s="305"/>
      <c r="O40" s="365">
        <v>0</v>
      </c>
    </row>
    <row r="41" spans="1:15" ht="15" customHeight="1">
      <c r="A41" s="299" t="s">
        <v>358</v>
      </c>
      <c r="B41" s="300"/>
      <c r="C41" s="300"/>
      <c r="D41" s="300"/>
      <c r="E41" s="300"/>
      <c r="F41" s="770"/>
      <c r="G41" s="770"/>
      <c r="H41" s="770"/>
      <c r="I41" s="770"/>
      <c r="J41" s="770"/>
      <c r="K41" s="302" t="s">
        <v>133</v>
      </c>
      <c r="L41" s="363"/>
      <c r="M41" s="364"/>
      <c r="N41" s="305"/>
      <c r="O41" s="365">
        <v>0</v>
      </c>
    </row>
    <row r="42" spans="1:15" ht="15" customHeight="1">
      <c r="A42" s="385" t="s">
        <v>358</v>
      </c>
      <c r="B42" s="271"/>
      <c r="C42" s="271"/>
      <c r="D42" s="271"/>
      <c r="E42" s="271"/>
      <c r="F42" s="729"/>
      <c r="G42" s="729"/>
      <c r="H42" s="729"/>
      <c r="I42" s="729"/>
      <c r="J42" s="729"/>
      <c r="K42" s="302" t="s">
        <v>133</v>
      </c>
      <c r="L42" s="730"/>
      <c r="M42" s="731"/>
      <c r="N42" s="724"/>
      <c r="O42" s="732">
        <v>0</v>
      </c>
    </row>
    <row r="43" spans="1:15" ht="15" customHeight="1" thickBot="1">
      <c r="A43" s="339" t="s">
        <v>118</v>
      </c>
      <c r="B43" s="340"/>
      <c r="C43" s="340"/>
      <c r="D43" s="340"/>
      <c r="E43" s="340"/>
      <c r="F43" s="769"/>
      <c r="G43" s="769"/>
      <c r="H43" s="769"/>
      <c r="I43" s="769"/>
      <c r="J43" s="769"/>
      <c r="K43" s="341" t="s">
        <v>133</v>
      </c>
      <c r="L43" s="709"/>
      <c r="M43" s="343"/>
      <c r="N43" s="344"/>
      <c r="O43" s="345">
        <v>0</v>
      </c>
    </row>
    <row r="44" spans="1:15" s="361" customFormat="1" ht="18" customHeight="1" thickBot="1">
      <c r="A44" s="276" t="s">
        <v>172</v>
      </c>
      <c r="B44" s="366"/>
      <c r="C44" s="366"/>
      <c r="D44" s="366"/>
      <c r="E44" s="349"/>
      <c r="F44" s="349"/>
      <c r="G44" s="349"/>
      <c r="H44" s="349"/>
      <c r="I44" s="367"/>
      <c r="J44" s="367"/>
      <c r="K44" s="349"/>
      <c r="L44" s="349"/>
      <c r="M44" s="368">
        <f>SUM(M36:M38)</f>
        <v>0</v>
      </c>
      <c r="N44" s="349"/>
      <c r="O44" s="350">
        <f>SUM(O36:O43)</f>
        <v>0</v>
      </c>
    </row>
    <row r="45" spans="1:15" ht="24" customHeight="1" thickBot="1">
      <c r="A45" s="351"/>
      <c r="B45" s="351"/>
      <c r="C45" s="351"/>
      <c r="D45" s="351"/>
      <c r="E45" s="271"/>
      <c r="F45" s="271"/>
      <c r="G45" s="271"/>
      <c r="H45" s="271"/>
      <c r="I45" s="272"/>
      <c r="J45" s="272"/>
      <c r="K45" s="271"/>
      <c r="L45" s="271"/>
      <c r="M45" s="131"/>
      <c r="N45" s="131"/>
      <c r="O45" s="352"/>
    </row>
    <row r="46" spans="1:15" s="283" customFormat="1" ht="22.5" customHeight="1" thickBot="1">
      <c r="A46" s="179" t="s">
        <v>339</v>
      </c>
      <c r="B46" s="220"/>
      <c r="C46" s="366"/>
      <c r="D46" s="366"/>
      <c r="E46" s="346"/>
      <c r="F46" s="220"/>
      <c r="G46" s="220"/>
      <c r="H46" s="220"/>
      <c r="I46" s="369"/>
      <c r="J46" s="369"/>
      <c r="K46" s="370"/>
      <c r="L46" s="370"/>
      <c r="M46" s="366"/>
      <c r="N46" s="371">
        <f>SUM(O33,O44)</f>
        <v>0</v>
      </c>
      <c r="O46" s="372">
        <f>SUM(O9:O32,O36:O43)</f>
        <v>0</v>
      </c>
    </row>
    <row r="47" spans="1:15" s="283" customFormat="1" ht="22.5" customHeight="1" thickBot="1">
      <c r="A47" s="179" t="s">
        <v>143</v>
      </c>
      <c r="B47" s="220"/>
      <c r="C47" s="366"/>
      <c r="D47" s="366"/>
      <c r="E47" s="346"/>
      <c r="F47" s="220"/>
      <c r="G47" s="220"/>
      <c r="H47" s="220"/>
      <c r="I47" s="369" t="s">
        <v>142</v>
      </c>
      <c r="J47" s="369"/>
      <c r="K47" s="370"/>
      <c r="L47" s="370"/>
      <c r="M47" s="366"/>
      <c r="N47" s="371"/>
      <c r="O47" s="372">
        <f>SUM(Tierbestand!R21,Tierbestand!R31,Tierbestand!R53,Tierbestand!R107,Tierbestand!R123,Tierbestand!R63,Tierbestand!R75)</f>
        <v>0</v>
      </c>
    </row>
    <row r="48" spans="1:15" s="283" customFormat="1" ht="22.5" customHeight="1" thickBot="1">
      <c r="A48" s="179" t="s">
        <v>338</v>
      </c>
      <c r="B48" s="220"/>
      <c r="C48" s="366"/>
      <c r="D48" s="366"/>
      <c r="E48" s="346"/>
      <c r="F48" s="220"/>
      <c r="G48" s="220"/>
      <c r="H48" s="220"/>
      <c r="I48" s="369" t="s">
        <v>72</v>
      </c>
      <c r="J48" s="369"/>
      <c r="K48" s="370"/>
      <c r="L48" s="370"/>
      <c r="M48" s="366"/>
      <c r="N48" s="371"/>
      <c r="O48" s="372">
        <f>ROUND(SUM(O46:O47),1)</f>
        <v>0</v>
      </c>
    </row>
    <row r="49" spans="1:17" ht="3" customHeight="1">
      <c r="A49" s="351"/>
      <c r="B49" s="351"/>
      <c r="C49" s="351"/>
      <c r="D49" s="351"/>
      <c r="E49" s="271"/>
      <c r="F49" s="271"/>
      <c r="G49" s="271"/>
      <c r="H49" s="271"/>
      <c r="I49" s="272"/>
      <c r="J49" s="272"/>
      <c r="K49" s="271"/>
      <c r="L49" s="271"/>
      <c r="M49" s="131"/>
      <c r="N49" s="131"/>
      <c r="O49" s="352"/>
    </row>
    <row r="50" spans="1:17" s="361" customFormat="1" ht="13.5" customHeight="1">
      <c r="B50" s="270"/>
      <c r="C50" s="270"/>
      <c r="D50" s="270"/>
      <c r="E50" s="131"/>
      <c r="F50" s="131"/>
      <c r="G50" s="131"/>
      <c r="H50" s="131"/>
      <c r="I50" s="510"/>
      <c r="J50" s="510"/>
      <c r="K50" s="131"/>
      <c r="L50" s="131"/>
      <c r="M50" s="606" t="s">
        <v>275</v>
      </c>
      <c r="N50" s="772" t="str">
        <f>IF(O47=0,"Kein Hofdünger",O46/O47)</f>
        <v>Kein Hofdünger</v>
      </c>
      <c r="O50" s="773"/>
    </row>
    <row r="51" spans="1:17" ht="15.75" customHeight="1">
      <c r="A51" s="261" t="s">
        <v>102</v>
      </c>
      <c r="F51" s="139"/>
      <c r="G51" s="139"/>
      <c r="H51" s="139"/>
      <c r="J51" s="5"/>
    </row>
    <row r="52" spans="1:17" ht="15" customHeight="1">
      <c r="A52" s="751"/>
      <c r="B52" s="751"/>
      <c r="C52" s="751"/>
      <c r="D52" s="751"/>
      <c r="E52" s="751"/>
      <c r="F52" s="751"/>
      <c r="G52" s="751"/>
      <c r="H52" s="751"/>
      <c r="I52" s="751"/>
      <c r="J52" s="751"/>
      <c r="K52" s="751"/>
      <c r="L52" s="751"/>
      <c r="M52" s="751"/>
      <c r="N52" s="751"/>
      <c r="O52" s="751"/>
      <c r="P52" s="238"/>
      <c r="Q52" s="238"/>
    </row>
    <row r="53" spans="1:17" ht="15" customHeight="1">
      <c r="A53" s="751"/>
      <c r="B53" s="751"/>
      <c r="C53" s="751"/>
      <c r="D53" s="751"/>
      <c r="E53" s="751"/>
      <c r="F53" s="751"/>
      <c r="G53" s="751"/>
      <c r="H53" s="751"/>
      <c r="I53" s="751"/>
      <c r="J53" s="751"/>
      <c r="K53" s="751"/>
      <c r="L53" s="751"/>
      <c r="M53" s="751"/>
      <c r="N53" s="751"/>
      <c r="O53" s="751"/>
      <c r="P53" s="238"/>
      <c r="Q53" s="238"/>
    </row>
    <row r="54" spans="1:17" ht="15" customHeight="1">
      <c r="A54" s="751"/>
      <c r="B54" s="751"/>
      <c r="C54" s="751"/>
      <c r="D54" s="751"/>
      <c r="E54" s="751"/>
      <c r="F54" s="751"/>
      <c r="G54" s="751"/>
      <c r="H54" s="751"/>
      <c r="I54" s="751"/>
      <c r="J54" s="751"/>
      <c r="K54" s="751"/>
      <c r="L54" s="751"/>
      <c r="M54" s="751"/>
      <c r="N54" s="751"/>
      <c r="O54" s="751"/>
      <c r="P54" s="238"/>
      <c r="Q54" s="238"/>
    </row>
    <row r="55" spans="1:17" ht="15" customHeight="1">
      <c r="A55" s="751"/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238"/>
      <c r="Q55" s="238"/>
    </row>
    <row r="56" spans="1:17" ht="15" customHeight="1">
      <c r="A56" s="751"/>
      <c r="B56" s="751"/>
      <c r="C56" s="751"/>
      <c r="D56" s="751"/>
      <c r="E56" s="751"/>
      <c r="F56" s="751"/>
      <c r="G56" s="751"/>
      <c r="H56" s="751"/>
      <c r="I56" s="751"/>
      <c r="J56" s="751"/>
      <c r="K56" s="751"/>
      <c r="L56" s="751"/>
      <c r="M56" s="751"/>
      <c r="N56" s="751"/>
      <c r="O56" s="751"/>
      <c r="P56" s="238"/>
      <c r="Q56" s="238"/>
    </row>
  </sheetData>
  <sheetProtection password="D19B" sheet="1" objects="1" scenarios="1"/>
  <mergeCells count="12">
    <mergeCell ref="A52:O56"/>
    <mergeCell ref="F41:J41"/>
    <mergeCell ref="N50:O50"/>
    <mergeCell ref="F32:J32"/>
    <mergeCell ref="F40:J40"/>
    <mergeCell ref="N4:O4"/>
    <mergeCell ref="F43:J43"/>
    <mergeCell ref="F39:J39"/>
    <mergeCell ref="F25:J25"/>
    <mergeCell ref="C2:F2"/>
    <mergeCell ref="H2:K2"/>
    <mergeCell ref="M2:O2"/>
  </mergeCells>
  <phoneticPr fontId="0" type="noConversion"/>
  <pageMargins left="0.78740157480314965" right="0.59055118110236227" top="0.39370078740157483" bottom="0.39370078740157483" header="0.31496062992125984" footer="0.31496062992125984"/>
  <pageSetup paperSize="9" scale="85" orientation="portrait" r:id="rId1"/>
  <headerFooter alignWithMargins="0">
    <oddFooter>&amp;L&amp;9 &amp;F / &amp;A / Druckdatum: &amp;D&amp;R&amp;P / &amp;N</oddFooter>
  </headerFooter>
  <rowBreaks count="1" manualBreakCount="1">
    <brk id="5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11">
    <pageSetUpPr fitToPage="1"/>
  </sheetPr>
  <dimension ref="A1:X70"/>
  <sheetViews>
    <sheetView showGridLines="0" zoomScaleNormal="100" workbookViewId="0">
      <selection activeCell="M2" sqref="M2:P2"/>
    </sheetView>
  </sheetViews>
  <sheetFormatPr baseColWidth="10" defaultRowHeight="12.75"/>
  <cols>
    <col min="1" max="1" width="10.7109375" style="3" customWidth="1"/>
    <col min="2" max="2" width="2.7109375" style="3" customWidth="1"/>
    <col min="3" max="4" width="1.7109375" style="3" customWidth="1"/>
    <col min="5" max="5" width="10.7109375" style="3" customWidth="1"/>
    <col min="6" max="6" width="9.7109375" style="3" customWidth="1"/>
    <col min="7" max="7" width="2.7109375" style="3" customWidth="1"/>
    <col min="8" max="8" width="4.7109375" style="3" customWidth="1"/>
    <col min="9" max="9" width="3.28515625" style="3" customWidth="1"/>
    <col min="10" max="13" width="9.7109375" style="3" customWidth="1"/>
    <col min="14" max="14" width="6" style="3" customWidth="1"/>
    <col min="15" max="15" width="5.140625" style="3" customWidth="1"/>
    <col min="16" max="18" width="10.7109375" style="3" customWidth="1"/>
    <col min="19" max="19" width="3.7109375" style="3" customWidth="1"/>
    <col min="20" max="23" width="7.7109375" style="518" hidden="1" customWidth="1"/>
    <col min="24" max="24" width="7.7109375" style="7" hidden="1" customWidth="1"/>
    <col min="25" max="25" width="7.7109375" style="3" customWidth="1"/>
    <col min="26" max="16384" width="11.42578125" style="3"/>
  </cols>
  <sheetData>
    <row r="1" spans="1:24" s="28" customFormat="1" ht="57" customHeight="1">
      <c r="N1" s="494"/>
      <c r="O1" s="494"/>
      <c r="P1" s="494"/>
      <c r="Q1" s="106"/>
      <c r="S1" s="105"/>
      <c r="T1" s="632"/>
      <c r="U1" s="532"/>
      <c r="V1" s="532"/>
      <c r="W1" s="532"/>
      <c r="X1" s="514"/>
    </row>
    <row r="2" spans="1:24" s="717" customFormat="1" ht="33" customHeight="1">
      <c r="A2" s="714" t="s">
        <v>78</v>
      </c>
      <c r="B2" s="618"/>
      <c r="C2" s="741" t="s">
        <v>79</v>
      </c>
      <c r="D2" s="741"/>
      <c r="E2" s="741"/>
      <c r="F2" s="741"/>
      <c r="G2" s="718"/>
      <c r="H2" s="757" t="s">
        <v>343</v>
      </c>
      <c r="I2" s="757"/>
      <c r="J2" s="757"/>
      <c r="K2" s="757"/>
      <c r="L2" s="719"/>
      <c r="M2" s="779" t="str">
        <f>Zusammenfassung!L2</f>
        <v>Stansstaderstrasse 59, 6371 Stans
041 618 40 40, www.nw.ch</v>
      </c>
      <c r="N2" s="780"/>
      <c r="O2" s="780"/>
      <c r="P2" s="780"/>
      <c r="Q2" s="738"/>
      <c r="R2" s="720"/>
      <c r="S2" s="736"/>
      <c r="T2" s="737"/>
      <c r="U2" s="715"/>
      <c r="V2" s="715"/>
      <c r="W2" s="715"/>
    </row>
    <row r="3" spans="1:24" ht="7.5" customHeight="1"/>
    <row r="4" spans="1:24" s="123" customFormat="1" ht="27" customHeight="1">
      <c r="A4" s="116" t="s">
        <v>189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745" t="str">
        <f>Zusammenfassung!N4</f>
        <v>Version 01.14.
21.01.2014/sn</v>
      </c>
      <c r="R4" s="745"/>
      <c r="S4" s="605"/>
      <c r="T4" s="633"/>
      <c r="U4" s="633"/>
      <c r="V4" s="633"/>
      <c r="W4" s="633"/>
      <c r="X4" s="634"/>
    </row>
    <row r="5" spans="1:24" ht="7.5" customHeight="1">
      <c r="A5" s="28"/>
      <c r="B5" s="28"/>
      <c r="C5" s="28"/>
      <c r="D5" s="28"/>
      <c r="E5" s="494"/>
      <c r="F5" s="494"/>
      <c r="G5" s="494"/>
      <c r="H5" s="494"/>
      <c r="I5" s="494"/>
      <c r="J5" s="494"/>
      <c r="K5" s="494"/>
      <c r="L5" s="494"/>
      <c r="M5" s="494"/>
      <c r="N5" s="28"/>
      <c r="O5" s="28"/>
      <c r="P5" s="28"/>
      <c r="Q5" s="28"/>
      <c r="R5" s="268"/>
    </row>
    <row r="6" spans="1:24" ht="21" customHeight="1">
      <c r="A6" s="124" t="s">
        <v>76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5"/>
      <c r="O6" s="125"/>
      <c r="P6" s="125"/>
      <c r="Q6" s="127"/>
      <c r="R6" s="125"/>
    </row>
    <row r="7" spans="1:24" ht="9" customHeight="1" thickBot="1">
      <c r="A7" s="495"/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6"/>
      <c r="Q7" s="497"/>
      <c r="R7" s="497"/>
    </row>
    <row r="8" spans="1:24" ht="6" customHeight="1" thickBot="1">
      <c r="A8" s="498"/>
      <c r="B8" s="499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9"/>
      <c r="O8" s="499"/>
      <c r="P8" s="500"/>
      <c r="Q8" s="501"/>
      <c r="R8" s="502"/>
    </row>
    <row r="9" spans="1:24" s="506" customFormat="1" ht="18" customHeight="1" thickBot="1">
      <c r="A9" s="231" t="s">
        <v>191</v>
      </c>
      <c r="B9" s="135"/>
      <c r="C9" s="135"/>
      <c r="D9" s="135"/>
      <c r="E9" s="135"/>
      <c r="F9" s="69"/>
      <c r="G9" s="69"/>
      <c r="H9" s="69"/>
      <c r="I9" s="135"/>
      <c r="J9" s="135"/>
      <c r="K9" s="135"/>
      <c r="L9" s="135"/>
      <c r="M9" s="135"/>
      <c r="N9" s="135"/>
      <c r="O9" s="135"/>
      <c r="P9" s="503"/>
      <c r="Q9" s="504">
        <f>Zusammenfassung!O30</f>
        <v>0</v>
      </c>
      <c r="R9" s="505"/>
      <c r="T9" s="517"/>
      <c r="U9" s="518"/>
      <c r="V9" s="518"/>
      <c r="W9" s="518"/>
      <c r="X9" s="635"/>
    </row>
    <row r="10" spans="1:24" ht="18" customHeight="1">
      <c r="A10" s="231" t="s">
        <v>195</v>
      </c>
      <c r="B10" s="136"/>
      <c r="C10" s="136"/>
      <c r="D10" s="136"/>
      <c r="E10" s="271"/>
      <c r="F10" s="28"/>
      <c r="G10" s="28"/>
      <c r="H10" s="28"/>
      <c r="I10" s="131"/>
      <c r="J10" s="131"/>
      <c r="K10" s="131"/>
      <c r="L10" s="131"/>
      <c r="M10" s="28"/>
      <c r="N10" s="28"/>
      <c r="O10" s="508"/>
      <c r="P10" s="28"/>
      <c r="Q10" s="602">
        <v>800</v>
      </c>
      <c r="R10" s="509"/>
      <c r="T10" s="517"/>
    </row>
    <row r="11" spans="1:24" ht="18" customHeight="1" thickBot="1">
      <c r="A11" s="231" t="s">
        <v>121</v>
      </c>
      <c r="B11" s="270"/>
      <c r="C11" s="270"/>
      <c r="D11" s="270"/>
      <c r="E11" s="271"/>
      <c r="F11" s="272" t="s">
        <v>320</v>
      </c>
      <c r="G11" s="272"/>
      <c r="H11" s="272"/>
      <c r="I11" s="510"/>
      <c r="J11" s="510"/>
      <c r="K11" s="510"/>
      <c r="L11" s="510"/>
      <c r="M11" s="28"/>
      <c r="N11" s="28"/>
      <c r="O11" s="511"/>
      <c r="P11" s="28"/>
      <c r="Q11" s="603">
        <v>6</v>
      </c>
      <c r="R11" s="509"/>
      <c r="T11" s="517"/>
    </row>
    <row r="12" spans="1:24" ht="18" customHeight="1" thickBot="1">
      <c r="A12" s="231" t="s">
        <v>276</v>
      </c>
      <c r="B12" s="270"/>
      <c r="C12" s="270"/>
      <c r="D12" s="270"/>
      <c r="E12" s="271"/>
      <c r="F12" s="272"/>
      <c r="G12" s="272"/>
      <c r="H12" s="272"/>
      <c r="I12" s="510"/>
      <c r="J12" s="510"/>
      <c r="K12" s="510"/>
      <c r="L12" s="510"/>
      <c r="M12" s="28"/>
      <c r="N12" s="28"/>
      <c r="O12" s="511"/>
      <c r="P12" s="28"/>
      <c r="Q12" s="504">
        <f>Q9*1000/Q10/12*Q11</f>
        <v>0</v>
      </c>
      <c r="R12" s="509"/>
      <c r="T12" s="517"/>
    </row>
    <row r="13" spans="1:24" ht="6" customHeight="1">
      <c r="A13" s="231"/>
      <c r="B13" s="270"/>
      <c r="C13" s="270"/>
      <c r="D13" s="270"/>
      <c r="E13" s="271"/>
      <c r="F13" s="272"/>
      <c r="G13" s="272"/>
      <c r="H13" s="272"/>
      <c r="I13" s="510"/>
      <c r="J13" s="510"/>
      <c r="K13" s="510"/>
      <c r="L13" s="510"/>
      <c r="M13" s="28"/>
      <c r="N13" s="28"/>
      <c r="O13" s="511"/>
      <c r="P13" s="28"/>
      <c r="Q13" s="512"/>
      <c r="R13" s="509"/>
      <c r="T13" s="517"/>
    </row>
    <row r="14" spans="1:24" s="7" customFormat="1" ht="18" customHeight="1">
      <c r="A14" s="513" t="s">
        <v>305</v>
      </c>
      <c r="B14" s="351"/>
      <c r="C14" s="351"/>
      <c r="D14" s="351"/>
      <c r="E14" s="271"/>
      <c r="F14" s="272"/>
      <c r="G14" s="272"/>
      <c r="H14" s="272"/>
      <c r="I14" s="272"/>
      <c r="J14" s="272"/>
      <c r="K14" s="272"/>
      <c r="L14" s="493">
        <v>1.5</v>
      </c>
      <c r="M14" s="600">
        <v>1.5</v>
      </c>
      <c r="N14" s="514"/>
      <c r="O14" s="511"/>
      <c r="P14" s="514"/>
      <c r="Q14" s="515"/>
      <c r="R14" s="516"/>
      <c r="T14" s="517"/>
      <c r="U14" s="518"/>
      <c r="V14" s="518"/>
      <c r="W14" s="518"/>
    </row>
    <row r="15" spans="1:24" ht="6" customHeight="1">
      <c r="A15" s="513"/>
      <c r="B15" s="270"/>
      <c r="C15" s="270"/>
      <c r="D15" s="270"/>
      <c r="E15" s="271"/>
      <c r="F15" s="272"/>
      <c r="G15" s="272"/>
      <c r="H15" s="272"/>
      <c r="I15" s="510"/>
      <c r="J15" s="510"/>
      <c r="K15" s="510"/>
      <c r="L15" s="510"/>
      <c r="M15" s="28"/>
      <c r="N15" s="28"/>
      <c r="O15" s="511"/>
      <c r="P15" s="519"/>
      <c r="Q15" s="520"/>
      <c r="R15" s="521"/>
      <c r="T15" s="517"/>
    </row>
    <row r="16" spans="1:24" ht="28.5" customHeight="1">
      <c r="A16" s="522" t="s">
        <v>122</v>
      </c>
      <c r="B16" s="523"/>
      <c r="C16" s="523"/>
      <c r="D16" s="523"/>
      <c r="E16" s="101"/>
      <c r="F16" s="101"/>
      <c r="G16" s="523"/>
      <c r="H16" s="523"/>
      <c r="I16" s="101"/>
      <c r="J16" s="661" t="s">
        <v>196</v>
      </c>
      <c r="K16" s="654" t="s">
        <v>197</v>
      </c>
      <c r="L16" s="662" t="s">
        <v>204</v>
      </c>
      <c r="M16" s="101"/>
      <c r="N16" s="101"/>
      <c r="O16" s="101"/>
      <c r="P16" s="656" t="s">
        <v>201</v>
      </c>
      <c r="Q16" s="655" t="s">
        <v>202</v>
      </c>
      <c r="R16" s="524" t="s">
        <v>203</v>
      </c>
      <c r="T16" s="517"/>
    </row>
    <row r="17" spans="1:24" s="361" customFormat="1" ht="18" customHeight="1">
      <c r="A17" s="525" t="s">
        <v>123</v>
      </c>
      <c r="B17" s="774"/>
      <c r="C17" s="774"/>
      <c r="D17" s="774"/>
      <c r="E17" s="774"/>
      <c r="F17" s="774"/>
      <c r="G17" s="774"/>
      <c r="H17" s="774"/>
      <c r="I17" s="526"/>
      <c r="J17" s="663"/>
      <c r="K17" s="647"/>
      <c r="L17" s="664">
        <v>1.5</v>
      </c>
      <c r="M17" s="527"/>
      <c r="N17" s="527"/>
      <c r="O17" s="528" t="s">
        <v>200</v>
      </c>
      <c r="P17" s="657"/>
      <c r="Q17" s="650">
        <f t="shared" ref="Q17:Q22" si="0">IF(P17&gt;0,P17*L17,J17*K17*L17)</f>
        <v>0</v>
      </c>
      <c r="R17" s="529">
        <f t="shared" ref="R17:R22" si="1">IF(P17&gt;0,P17,J17*K17)</f>
        <v>0</v>
      </c>
      <c r="T17" s="517"/>
      <c r="U17" s="518"/>
      <c r="V17" s="518"/>
      <c r="W17" s="518"/>
      <c r="X17" s="7"/>
    </row>
    <row r="18" spans="1:24" s="361" customFormat="1" ht="18" customHeight="1">
      <c r="A18" s="530" t="s">
        <v>124</v>
      </c>
      <c r="B18" s="775"/>
      <c r="C18" s="775"/>
      <c r="D18" s="775"/>
      <c r="E18" s="775"/>
      <c r="F18" s="775"/>
      <c r="G18" s="775"/>
      <c r="H18" s="775"/>
      <c r="I18" s="510"/>
      <c r="J18" s="665"/>
      <c r="K18" s="648"/>
      <c r="L18" s="666">
        <v>1.5</v>
      </c>
      <c r="M18" s="531"/>
      <c r="N18" s="531"/>
      <c r="O18" s="532" t="s">
        <v>200</v>
      </c>
      <c r="P18" s="658"/>
      <c r="Q18" s="651">
        <f t="shared" si="0"/>
        <v>0</v>
      </c>
      <c r="R18" s="533">
        <f t="shared" si="1"/>
        <v>0</v>
      </c>
      <c r="T18" s="517"/>
      <c r="U18" s="518"/>
      <c r="V18" s="518"/>
      <c r="W18" s="518"/>
      <c r="X18" s="7"/>
    </row>
    <row r="19" spans="1:24" s="361" customFormat="1" ht="18" customHeight="1">
      <c r="A19" s="530" t="s">
        <v>125</v>
      </c>
      <c r="B19" s="775"/>
      <c r="C19" s="775"/>
      <c r="D19" s="775"/>
      <c r="E19" s="775"/>
      <c r="F19" s="775"/>
      <c r="G19" s="775"/>
      <c r="H19" s="775"/>
      <c r="I19" s="510"/>
      <c r="J19" s="665"/>
      <c r="K19" s="648"/>
      <c r="L19" s="666">
        <v>1.5</v>
      </c>
      <c r="M19" s="531"/>
      <c r="N19" s="531"/>
      <c r="O19" s="532" t="s">
        <v>200</v>
      </c>
      <c r="P19" s="658"/>
      <c r="Q19" s="651">
        <f t="shared" si="0"/>
        <v>0</v>
      </c>
      <c r="R19" s="533">
        <f t="shared" si="1"/>
        <v>0</v>
      </c>
      <c r="T19" s="517"/>
      <c r="U19" s="518"/>
      <c r="V19" s="518"/>
      <c r="W19" s="518"/>
      <c r="X19" s="7"/>
    </row>
    <row r="20" spans="1:24" s="361" customFormat="1" ht="18" customHeight="1">
      <c r="A20" s="530" t="s">
        <v>126</v>
      </c>
      <c r="B20" s="775"/>
      <c r="C20" s="775"/>
      <c r="D20" s="775"/>
      <c r="E20" s="775"/>
      <c r="F20" s="775"/>
      <c r="G20" s="775"/>
      <c r="H20" s="775"/>
      <c r="I20" s="510"/>
      <c r="J20" s="665"/>
      <c r="K20" s="648"/>
      <c r="L20" s="666">
        <v>1.5</v>
      </c>
      <c r="M20" s="531"/>
      <c r="N20" s="531"/>
      <c r="O20" s="532" t="s">
        <v>200</v>
      </c>
      <c r="P20" s="658"/>
      <c r="Q20" s="651">
        <f t="shared" si="0"/>
        <v>0</v>
      </c>
      <c r="R20" s="533">
        <f t="shared" si="1"/>
        <v>0</v>
      </c>
      <c r="T20" s="517"/>
      <c r="U20" s="518"/>
      <c r="V20" s="518"/>
      <c r="W20" s="518"/>
      <c r="X20" s="7"/>
    </row>
    <row r="21" spans="1:24" s="361" customFormat="1" ht="18" customHeight="1">
      <c r="A21" s="530" t="s">
        <v>216</v>
      </c>
      <c r="B21" s="775"/>
      <c r="C21" s="775"/>
      <c r="D21" s="775"/>
      <c r="E21" s="775"/>
      <c r="F21" s="775"/>
      <c r="G21" s="775"/>
      <c r="H21" s="775"/>
      <c r="I21" s="510"/>
      <c r="J21" s="665"/>
      <c r="K21" s="648"/>
      <c r="L21" s="666">
        <v>1.5</v>
      </c>
      <c r="M21" s="531"/>
      <c r="N21" s="531"/>
      <c r="O21" s="532" t="s">
        <v>200</v>
      </c>
      <c r="P21" s="658"/>
      <c r="Q21" s="651">
        <f t="shared" si="0"/>
        <v>0</v>
      </c>
      <c r="R21" s="533">
        <f t="shared" si="1"/>
        <v>0</v>
      </c>
      <c r="T21" s="518"/>
      <c r="U21" s="518"/>
      <c r="V21" s="518"/>
      <c r="W21" s="518"/>
      <c r="X21" s="7"/>
    </row>
    <row r="22" spans="1:24" s="531" customFormat="1" ht="18" customHeight="1">
      <c r="A22" s="534" t="s">
        <v>229</v>
      </c>
      <c r="B22" s="776"/>
      <c r="C22" s="776"/>
      <c r="D22" s="776"/>
      <c r="E22" s="776"/>
      <c r="F22" s="776"/>
      <c r="G22" s="776"/>
      <c r="H22" s="776"/>
      <c r="I22" s="535"/>
      <c r="J22" s="667"/>
      <c r="K22" s="649"/>
      <c r="L22" s="668">
        <v>1.5</v>
      </c>
      <c r="M22" s="536"/>
      <c r="N22" s="536"/>
      <c r="O22" s="537" t="s">
        <v>200</v>
      </c>
      <c r="P22" s="659"/>
      <c r="Q22" s="652">
        <f t="shared" si="0"/>
        <v>0</v>
      </c>
      <c r="R22" s="538">
        <f t="shared" si="1"/>
        <v>0</v>
      </c>
      <c r="T22" s="532"/>
      <c r="U22" s="532"/>
      <c r="V22" s="532"/>
      <c r="W22" s="532"/>
      <c r="X22" s="514"/>
    </row>
    <row r="23" spans="1:24" s="531" customFormat="1" ht="18" customHeight="1">
      <c r="A23" s="525" t="s">
        <v>198</v>
      </c>
      <c r="B23" s="539"/>
      <c r="C23" s="539"/>
      <c r="D23" s="539"/>
      <c r="E23" s="540"/>
      <c r="F23" s="541"/>
      <c r="G23" s="541"/>
      <c r="H23" s="541"/>
      <c r="I23" s="542"/>
      <c r="J23" s="663"/>
      <c r="K23" s="647"/>
      <c r="L23" s="664">
        <v>0.5</v>
      </c>
      <c r="M23" s="527"/>
      <c r="N23" s="542"/>
      <c r="O23" s="542"/>
      <c r="P23" s="660"/>
      <c r="Q23" s="650">
        <f>J23*K23*L23</f>
        <v>0</v>
      </c>
      <c r="R23" s="529">
        <f>J23*K23</f>
        <v>0</v>
      </c>
      <c r="T23" s="532"/>
      <c r="U23" s="532"/>
      <c r="V23" s="532"/>
      <c r="W23" s="532"/>
      <c r="X23" s="514"/>
    </row>
    <row r="24" spans="1:24" s="531" customFormat="1" ht="18" customHeight="1" thickBot="1">
      <c r="A24" s="534" t="s">
        <v>198</v>
      </c>
      <c r="B24" s="543"/>
      <c r="C24" s="543"/>
      <c r="D24" s="543"/>
      <c r="E24" s="544"/>
      <c r="F24" s="545"/>
      <c r="G24" s="535"/>
      <c r="H24" s="535"/>
      <c r="I24" s="546"/>
      <c r="J24" s="667"/>
      <c r="K24" s="649"/>
      <c r="L24" s="668">
        <v>0.5</v>
      </c>
      <c r="M24" s="536"/>
      <c r="N24" s="546"/>
      <c r="O24" s="546"/>
      <c r="P24" s="652"/>
      <c r="Q24" s="653">
        <f>J24*K24*L24</f>
        <v>0</v>
      </c>
      <c r="R24" s="547">
        <f>J24*K24</f>
        <v>0</v>
      </c>
      <c r="T24" s="532"/>
      <c r="U24" s="532" t="s">
        <v>281</v>
      </c>
      <c r="V24" s="532" t="s">
        <v>282</v>
      </c>
      <c r="W24" s="532" t="s">
        <v>280</v>
      </c>
      <c r="X24" s="532" t="s">
        <v>279</v>
      </c>
    </row>
    <row r="25" spans="1:24" s="552" customFormat="1" ht="18" customHeight="1" thickBot="1">
      <c r="A25" s="548" t="s">
        <v>284</v>
      </c>
      <c r="B25" s="237"/>
      <c r="C25" s="237"/>
      <c r="D25" s="237"/>
      <c r="E25" s="237"/>
      <c r="F25" s="233"/>
      <c r="G25" s="233"/>
      <c r="H25" s="233"/>
      <c r="I25" s="237"/>
      <c r="J25" s="237"/>
      <c r="K25" s="549" t="s">
        <v>365</v>
      </c>
      <c r="L25" s="601">
        <f>IF(R25=0,IF(L14=0,M14,L14),Q25/R25)</f>
        <v>1.5</v>
      </c>
      <c r="M25" s="641"/>
      <c r="N25" s="642"/>
      <c r="O25" s="643" t="s">
        <v>364</v>
      </c>
      <c r="P25" s="740">
        <f>IF(L25=0,,Q12/L25)</f>
        <v>0</v>
      </c>
      <c r="Q25" s="550">
        <f>SUM(Q17:Q22)</f>
        <v>0</v>
      </c>
      <c r="R25" s="551">
        <f>SUM(R17:R22)</f>
        <v>0</v>
      </c>
      <c r="T25" s="532" t="s">
        <v>193</v>
      </c>
      <c r="U25" s="636">
        <f>Q12</f>
        <v>0</v>
      </c>
      <c r="V25" s="637">
        <f>L26</f>
        <v>1.5</v>
      </c>
      <c r="W25" s="638">
        <f>U25/V25</f>
        <v>0</v>
      </c>
      <c r="X25" s="638">
        <f>Q11</f>
        <v>6</v>
      </c>
    </row>
    <row r="26" spans="1:24" s="503" customFormat="1" ht="18" customHeight="1" thickBot="1">
      <c r="A26" s="522" t="s">
        <v>277</v>
      </c>
      <c r="B26" s="553"/>
      <c r="C26" s="553"/>
      <c r="D26" s="553"/>
      <c r="E26" s="553"/>
      <c r="F26" s="554"/>
      <c r="G26" s="554"/>
      <c r="H26" s="554"/>
      <c r="I26" s="553"/>
      <c r="J26" s="553"/>
      <c r="K26" s="555" t="s">
        <v>365</v>
      </c>
      <c r="L26" s="601">
        <f>IF(R26=0,IF(L14=0,M14,L14),Q26/R26)</f>
        <v>1.5</v>
      </c>
      <c r="M26" s="644"/>
      <c r="N26" s="645"/>
      <c r="O26" s="646" t="s">
        <v>364</v>
      </c>
      <c r="P26" s="739">
        <f>IF(L26=0,,Q12/L26)</f>
        <v>0</v>
      </c>
      <c r="Q26" s="556">
        <f>SUM(Q23:Q25)</f>
        <v>0</v>
      </c>
      <c r="R26" s="557">
        <f>SUM(R23:R25)</f>
        <v>0</v>
      </c>
      <c r="T26" s="532" t="s">
        <v>194</v>
      </c>
      <c r="U26" s="638">
        <f>Q26</f>
        <v>0</v>
      </c>
      <c r="V26" s="600">
        <f>L26</f>
        <v>1.5</v>
      </c>
      <c r="W26" s="638">
        <f>U26/V26</f>
        <v>0</v>
      </c>
      <c r="X26" s="638">
        <f>IF(W26=0,,W26/(W25/X25))</f>
        <v>0</v>
      </c>
    </row>
    <row r="27" spans="1:24" s="28" customFormat="1" ht="9" customHeight="1" thickBot="1">
      <c r="A27" s="513"/>
      <c r="B27" s="270"/>
      <c r="C27" s="270"/>
      <c r="D27" s="270"/>
      <c r="E27" s="271"/>
      <c r="F27" s="272"/>
      <c r="G27" s="272"/>
      <c r="H27" s="272"/>
      <c r="I27" s="131"/>
      <c r="J27" s="131"/>
      <c r="K27" s="131"/>
      <c r="L27" s="131"/>
      <c r="M27" s="131"/>
      <c r="N27" s="271"/>
      <c r="O27" s="271"/>
      <c r="P27" s="131"/>
      <c r="Q27" s="131"/>
      <c r="R27" s="558"/>
      <c r="T27" s="532"/>
      <c r="U27" s="532"/>
      <c r="V27" s="532"/>
      <c r="W27" s="532"/>
      <c r="X27" s="514"/>
    </row>
    <row r="28" spans="1:24" s="28" customFormat="1" ht="18" customHeight="1" thickBot="1">
      <c r="A28" s="231" t="s">
        <v>127</v>
      </c>
      <c r="B28" s="270"/>
      <c r="C28" s="270"/>
      <c r="D28" s="270"/>
      <c r="E28" s="271"/>
      <c r="F28" s="272"/>
      <c r="G28" s="272"/>
      <c r="H28" s="272"/>
      <c r="I28" s="131"/>
      <c r="J28" s="131"/>
      <c r="K28" s="131"/>
      <c r="L28" s="131"/>
      <c r="M28" s="559" t="s">
        <v>259</v>
      </c>
      <c r="N28" s="271"/>
      <c r="O28" s="271"/>
      <c r="P28" s="560" t="s">
        <v>170</v>
      </c>
      <c r="Q28" s="561">
        <f>IF(Q26=0,,Q26/(Q12/Q11))</f>
        <v>0</v>
      </c>
      <c r="R28" s="551">
        <f>IF(R26=0,,R26/(P26/Q11))</f>
        <v>0</v>
      </c>
      <c r="T28" s="532"/>
      <c r="U28" s="532"/>
      <c r="V28" s="532"/>
      <c r="W28" s="532"/>
      <c r="X28" s="514"/>
    </row>
    <row r="29" spans="1:24" s="28" customFormat="1" ht="18" customHeight="1" thickBot="1">
      <c r="A29" s="231"/>
      <c r="B29" s="270"/>
      <c r="C29" s="270"/>
      <c r="D29" s="270"/>
      <c r="E29" s="271"/>
      <c r="F29" s="272"/>
      <c r="G29" s="272"/>
      <c r="H29" s="272"/>
      <c r="I29" s="131"/>
      <c r="J29" s="131"/>
      <c r="K29" s="131"/>
      <c r="L29" s="131"/>
      <c r="M29" s="559" t="str">
        <f>IF($Q$26&lt;=$Q$12,"Manko","Vorrat")</f>
        <v>Manko</v>
      </c>
      <c r="N29" s="271"/>
      <c r="O29" s="271"/>
      <c r="P29" s="560" t="s">
        <v>278</v>
      </c>
      <c r="Q29" s="562">
        <f>Q26-Q12</f>
        <v>0</v>
      </c>
      <c r="R29" s="562">
        <f>(Q26-Q12)/L25</f>
        <v>0</v>
      </c>
      <c r="T29" s="532"/>
      <c r="U29" s="532"/>
      <c r="V29" s="532"/>
      <c r="W29" s="532"/>
      <c r="X29" s="514"/>
    </row>
    <row r="30" spans="1:24" s="28" customFormat="1" ht="18" customHeight="1" thickBot="1">
      <c r="A30" s="513"/>
      <c r="B30" s="270"/>
      <c r="C30" s="270"/>
      <c r="D30" s="270"/>
      <c r="E30" s="271"/>
      <c r="F30" s="272"/>
      <c r="G30" s="272"/>
      <c r="H30" s="272"/>
      <c r="I30" s="131"/>
      <c r="J30" s="131"/>
      <c r="K30" s="131"/>
      <c r="L30" s="131"/>
      <c r="M30" s="563" t="str">
        <f>M29</f>
        <v>Manko</v>
      </c>
      <c r="N30" s="271"/>
      <c r="O30" s="271"/>
      <c r="P30" s="560" t="s">
        <v>170</v>
      </c>
      <c r="Q30" s="561">
        <f>IF(Q29=0,,Q29/(Q12/Q11))</f>
        <v>0</v>
      </c>
      <c r="R30" s="562">
        <f>IF(R29=0,,R29/(P25/Q11))</f>
        <v>0</v>
      </c>
      <c r="T30" s="532"/>
      <c r="U30" s="532"/>
      <c r="V30" s="532"/>
      <c r="W30" s="532"/>
      <c r="X30" s="514"/>
    </row>
    <row r="31" spans="1:24" s="28" customFormat="1" ht="18" customHeight="1" thickBot="1">
      <c r="A31" s="513"/>
      <c r="B31" s="270"/>
      <c r="C31" s="270"/>
      <c r="D31" s="270"/>
      <c r="E31" s="271"/>
      <c r="F31" s="272"/>
      <c r="G31" s="272"/>
      <c r="H31" s="272"/>
      <c r="I31" s="131"/>
      <c r="J31" s="131"/>
      <c r="K31" s="131"/>
      <c r="L31" s="131"/>
      <c r="M31" s="563" t="str">
        <f>M29</f>
        <v>Manko</v>
      </c>
      <c r="N31" s="271"/>
      <c r="O31" s="271"/>
      <c r="P31" s="560" t="s">
        <v>190</v>
      </c>
      <c r="Q31" s="564">
        <f>IF(Q29=0,,Q29/Q12%)</f>
        <v>0</v>
      </c>
      <c r="R31" s="562">
        <f>IF(R29=0,,R29/P25%)</f>
        <v>0</v>
      </c>
      <c r="T31" s="532"/>
      <c r="U31" s="532"/>
      <c r="V31" s="532"/>
      <c r="W31" s="532"/>
      <c r="X31" s="514"/>
    </row>
    <row r="32" spans="1:24" ht="6" customHeight="1" thickBot="1">
      <c r="A32" s="565"/>
      <c r="B32" s="566"/>
      <c r="C32" s="566"/>
      <c r="D32" s="566"/>
      <c r="E32" s="567"/>
      <c r="F32" s="568"/>
      <c r="G32" s="568"/>
      <c r="H32" s="568"/>
      <c r="I32" s="258"/>
      <c r="J32" s="258"/>
      <c r="K32" s="258"/>
      <c r="L32" s="258"/>
      <c r="M32" s="258"/>
      <c r="N32" s="567"/>
      <c r="O32" s="567"/>
      <c r="P32" s="258"/>
      <c r="Q32" s="258"/>
      <c r="R32" s="569"/>
    </row>
    <row r="33" spans="1:24" ht="21" customHeight="1">
      <c r="A33" s="270"/>
      <c r="B33" s="270"/>
      <c r="C33" s="270"/>
      <c r="D33" s="270"/>
      <c r="E33" s="271"/>
      <c r="F33" s="272"/>
      <c r="G33" s="272"/>
      <c r="H33" s="272"/>
      <c r="I33" s="131"/>
      <c r="J33" s="131"/>
      <c r="K33" s="131"/>
      <c r="L33" s="131"/>
      <c r="M33" s="131"/>
      <c r="N33" s="271"/>
      <c r="O33" s="271"/>
      <c r="P33" s="131"/>
      <c r="Q33" s="271"/>
      <c r="R33" s="570"/>
    </row>
    <row r="34" spans="1:24" ht="21" customHeight="1">
      <c r="A34" s="124" t="s">
        <v>77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5"/>
      <c r="O34" s="125"/>
      <c r="P34" s="125"/>
      <c r="Q34" s="127"/>
      <c r="R34" s="125"/>
    </row>
    <row r="35" spans="1:24" ht="4.5" customHeight="1" thickBot="1">
      <c r="A35" s="270"/>
      <c r="B35" s="270"/>
      <c r="C35" s="270"/>
      <c r="D35" s="270"/>
      <c r="E35" s="271"/>
      <c r="F35" s="272"/>
      <c r="G35" s="272"/>
      <c r="H35" s="272"/>
      <c r="I35" s="131"/>
      <c r="J35" s="131"/>
      <c r="K35" s="131"/>
      <c r="L35" s="131"/>
      <c r="M35" s="131"/>
      <c r="N35" s="271"/>
      <c r="O35" s="271"/>
      <c r="P35" s="131"/>
      <c r="Q35" s="271"/>
      <c r="R35" s="570"/>
    </row>
    <row r="36" spans="1:24" s="506" customFormat="1" ht="6" customHeight="1" thickBot="1">
      <c r="A36" s="571"/>
      <c r="B36" s="224"/>
      <c r="C36" s="224"/>
      <c r="D36" s="224"/>
      <c r="E36" s="224"/>
      <c r="F36" s="572"/>
      <c r="G36" s="572"/>
      <c r="H36" s="572"/>
      <c r="I36" s="224"/>
      <c r="J36" s="224"/>
      <c r="K36" s="224"/>
      <c r="L36" s="224"/>
      <c r="M36" s="224"/>
      <c r="N36" s="224"/>
      <c r="O36" s="224"/>
      <c r="P36" s="224"/>
      <c r="Q36" s="573"/>
      <c r="R36" s="574"/>
      <c r="T36" s="518"/>
      <c r="U36" s="518"/>
      <c r="V36" s="518"/>
      <c r="W36" s="518"/>
      <c r="X36" s="635"/>
    </row>
    <row r="37" spans="1:24" s="506" customFormat="1" ht="18" customHeight="1" thickBot="1">
      <c r="A37" s="231" t="s">
        <v>208</v>
      </c>
      <c r="B37" s="135"/>
      <c r="C37" s="135"/>
      <c r="D37" s="135"/>
      <c r="E37" s="135"/>
      <c r="F37" s="69"/>
      <c r="G37" s="69"/>
      <c r="H37" s="69"/>
      <c r="I37" s="135"/>
      <c r="J37" s="135"/>
      <c r="K37" s="135"/>
      <c r="L37" s="135"/>
      <c r="M37" s="135"/>
      <c r="N37" s="135"/>
      <c r="O37" s="135"/>
      <c r="P37" s="503"/>
      <c r="Q37" s="504">
        <f>Zusammenfassung!O38</f>
        <v>0</v>
      </c>
      <c r="R37" s="505"/>
      <c r="T37" s="517"/>
      <c r="U37" s="518"/>
      <c r="V37" s="518"/>
      <c r="W37" s="518"/>
      <c r="X37" s="635"/>
    </row>
    <row r="38" spans="1:24" ht="18" customHeight="1">
      <c r="A38" s="231" t="s">
        <v>206</v>
      </c>
      <c r="B38" s="136"/>
      <c r="C38" s="136"/>
      <c r="D38" s="136"/>
      <c r="E38" s="271"/>
      <c r="F38" s="271"/>
      <c r="G38" s="271"/>
      <c r="H38" s="271"/>
      <c r="I38" s="272"/>
      <c r="J38" s="272"/>
      <c r="K38" s="272"/>
      <c r="L38" s="272"/>
      <c r="M38" s="272"/>
      <c r="N38" s="271"/>
      <c r="O38" s="271"/>
      <c r="P38" s="575"/>
      <c r="Q38" s="576">
        <f>VLOOKUP(Zusammenfassung!N10,Div.Tab.Grundlagen!$C$3:$E$10,IF(Zusammenfassung!N8="Ja",3,2),0)</f>
        <v>0</v>
      </c>
      <c r="R38" s="777">
        <f>IF(Q39=0,Q38,Q39)</f>
        <v>0</v>
      </c>
    </row>
    <row r="39" spans="1:24" ht="18" customHeight="1" thickBot="1">
      <c r="A39" s="231" t="s">
        <v>207</v>
      </c>
      <c r="B39" s="136"/>
      <c r="C39" s="136"/>
      <c r="D39" s="136"/>
      <c r="E39" s="271"/>
      <c r="F39" s="271"/>
      <c r="G39" s="271"/>
      <c r="H39" s="271"/>
      <c r="I39" s="510" t="s">
        <v>255</v>
      </c>
      <c r="J39" s="272"/>
      <c r="K39" s="272"/>
      <c r="L39" s="272"/>
      <c r="M39" s="272"/>
      <c r="N39" s="271"/>
      <c r="O39" s="271"/>
      <c r="P39" s="131"/>
      <c r="Q39" s="604"/>
      <c r="R39" s="778"/>
    </row>
    <row r="40" spans="1:24" ht="18" customHeight="1" thickBot="1">
      <c r="A40" s="231" t="s">
        <v>209</v>
      </c>
      <c r="B40" s="270"/>
      <c r="C40" s="270"/>
      <c r="D40" s="270"/>
      <c r="E40" s="271"/>
      <c r="F40" s="272"/>
      <c r="G40" s="272"/>
      <c r="H40" s="272"/>
      <c r="I40" s="510"/>
      <c r="J40" s="510"/>
      <c r="K40" s="510"/>
      <c r="L40" s="510"/>
      <c r="M40" s="28"/>
      <c r="N40" s="28"/>
      <c r="O40" s="511"/>
      <c r="P40" s="28"/>
      <c r="Q40" s="504">
        <f>Q37/12*IF($Q$39=0,$Q$38,$Q$39)</f>
        <v>0</v>
      </c>
      <c r="R40" s="577">
        <f>R38</f>
        <v>0</v>
      </c>
      <c r="T40" s="517"/>
    </row>
    <row r="41" spans="1:24" ht="18" customHeight="1">
      <c r="A41" s="578"/>
      <c r="B41" s="136"/>
      <c r="C41" s="136"/>
      <c r="D41" s="136"/>
      <c r="E41" s="271"/>
      <c r="F41" s="271"/>
      <c r="G41" s="271"/>
      <c r="H41" s="271"/>
      <c r="I41" s="272"/>
      <c r="J41" s="579" t="s">
        <v>219</v>
      </c>
      <c r="K41" s="579" t="s">
        <v>219</v>
      </c>
      <c r="L41" s="579" t="s">
        <v>221</v>
      </c>
      <c r="M41" s="579" t="s">
        <v>220</v>
      </c>
      <c r="N41" s="271"/>
      <c r="O41" s="271"/>
      <c r="P41" s="131"/>
      <c r="Q41" s="520"/>
      <c r="R41" s="509"/>
    </row>
    <row r="42" spans="1:24" ht="42" customHeight="1">
      <c r="A42" s="522" t="s">
        <v>334</v>
      </c>
      <c r="B42" s="101"/>
      <c r="C42" s="580"/>
      <c r="D42" s="580"/>
      <c r="E42" s="101"/>
      <c r="F42" s="581"/>
      <c r="G42" s="581"/>
      <c r="H42" s="581"/>
      <c r="I42" s="582"/>
      <c r="J42" s="654" t="s">
        <v>196</v>
      </c>
      <c r="K42" s="654" t="s">
        <v>197</v>
      </c>
      <c r="L42" s="655" t="s">
        <v>210</v>
      </c>
      <c r="M42" s="656" t="s">
        <v>228</v>
      </c>
      <c r="N42" s="654" t="s">
        <v>225</v>
      </c>
      <c r="O42" s="669"/>
      <c r="P42" s="656" t="s">
        <v>199</v>
      </c>
      <c r="Q42" s="656" t="s">
        <v>199</v>
      </c>
      <c r="R42" s="583" t="s">
        <v>222</v>
      </c>
    </row>
    <row r="43" spans="1:24" ht="18" customHeight="1">
      <c r="A43" s="314" t="s">
        <v>128</v>
      </c>
      <c r="B43" s="774"/>
      <c r="C43" s="774"/>
      <c r="D43" s="774"/>
      <c r="E43" s="774"/>
      <c r="F43" s="774"/>
      <c r="G43" s="774"/>
      <c r="H43" s="774"/>
      <c r="I43" s="584"/>
      <c r="J43" s="647"/>
      <c r="K43" s="647"/>
      <c r="L43" s="647"/>
      <c r="M43" s="647"/>
      <c r="N43" s="670" t="s">
        <v>94</v>
      </c>
      <c r="O43" s="671" t="s">
        <v>200</v>
      </c>
      <c r="P43" s="672"/>
      <c r="Q43" s="673">
        <f>IF(P43&lt;&gt;0,P43,IF(M43&lt;&gt;0,L43*((M43/2)*(M43/2))*3.14159,J43*K43*L43))</f>
        <v>0</v>
      </c>
      <c r="R43" s="585">
        <f>IF(N43="Ja",0,IF(N43="Nein",IF(M43&lt;&gt;0,((M43/2)*(M43/2))*3.14159,J43*K43)))</f>
        <v>0</v>
      </c>
    </row>
    <row r="44" spans="1:24" ht="18" customHeight="1">
      <c r="A44" s="299" t="s">
        <v>129</v>
      </c>
      <c r="B44" s="775"/>
      <c r="C44" s="775"/>
      <c r="D44" s="775"/>
      <c r="E44" s="775"/>
      <c r="F44" s="775"/>
      <c r="G44" s="775"/>
      <c r="H44" s="775"/>
      <c r="I44" s="28"/>
      <c r="J44" s="648"/>
      <c r="K44" s="648"/>
      <c r="L44" s="648"/>
      <c r="M44" s="648"/>
      <c r="N44" s="674" t="s">
        <v>94</v>
      </c>
      <c r="O44" s="675" t="s">
        <v>200</v>
      </c>
      <c r="P44" s="676"/>
      <c r="Q44" s="677">
        <f t="shared" ref="Q44:Q56" si="2">IF(P44&lt;&gt;0,P44,IF(M44&lt;&gt;0,L44*((M44/2)*(M44/2))*3.14159,J44*K44*L44))</f>
        <v>0</v>
      </c>
      <c r="R44" s="586">
        <f t="shared" ref="R44:R56" si="3">IF(N44="Ja",0,IF(N44="Nein",IF(M44&lt;&gt;0,((M44/2)*(M44/2))*3.14159,J44*K44)))</f>
        <v>0</v>
      </c>
    </row>
    <row r="45" spans="1:24" ht="18" customHeight="1">
      <c r="A45" s="299" t="s">
        <v>130</v>
      </c>
      <c r="B45" s="775"/>
      <c r="C45" s="775"/>
      <c r="D45" s="775"/>
      <c r="E45" s="775"/>
      <c r="F45" s="775"/>
      <c r="G45" s="775"/>
      <c r="H45" s="775"/>
      <c r="I45" s="28"/>
      <c r="J45" s="648"/>
      <c r="K45" s="648"/>
      <c r="L45" s="648"/>
      <c r="M45" s="648"/>
      <c r="N45" s="674" t="s">
        <v>94</v>
      </c>
      <c r="O45" s="675" t="s">
        <v>200</v>
      </c>
      <c r="P45" s="676"/>
      <c r="Q45" s="677">
        <f t="shared" si="2"/>
        <v>0</v>
      </c>
      <c r="R45" s="586">
        <f t="shared" si="3"/>
        <v>0</v>
      </c>
    </row>
    <row r="46" spans="1:24" ht="18" customHeight="1">
      <c r="A46" s="299" t="s">
        <v>131</v>
      </c>
      <c r="B46" s="775"/>
      <c r="C46" s="775"/>
      <c r="D46" s="775"/>
      <c r="E46" s="775"/>
      <c r="F46" s="775"/>
      <c r="G46" s="775"/>
      <c r="H46" s="775"/>
      <c r="I46" s="28"/>
      <c r="J46" s="648"/>
      <c r="K46" s="648"/>
      <c r="L46" s="648"/>
      <c r="M46" s="648"/>
      <c r="N46" s="674" t="s">
        <v>94</v>
      </c>
      <c r="O46" s="675" t="s">
        <v>200</v>
      </c>
      <c r="P46" s="676"/>
      <c r="Q46" s="677">
        <f t="shared" si="2"/>
        <v>0</v>
      </c>
      <c r="R46" s="586">
        <f t="shared" si="3"/>
        <v>0</v>
      </c>
    </row>
    <row r="47" spans="1:24" ht="18" customHeight="1">
      <c r="A47" s="299" t="s">
        <v>132</v>
      </c>
      <c r="B47" s="775"/>
      <c r="C47" s="775"/>
      <c r="D47" s="775"/>
      <c r="E47" s="775"/>
      <c r="F47" s="775"/>
      <c r="G47" s="775"/>
      <c r="H47" s="775"/>
      <c r="I47" s="28"/>
      <c r="J47" s="648"/>
      <c r="K47" s="648"/>
      <c r="L47" s="648"/>
      <c r="M47" s="648"/>
      <c r="N47" s="674" t="s">
        <v>94</v>
      </c>
      <c r="O47" s="675" t="s">
        <v>200</v>
      </c>
      <c r="P47" s="676"/>
      <c r="Q47" s="677">
        <f t="shared" si="2"/>
        <v>0</v>
      </c>
      <c r="R47" s="586">
        <f t="shared" si="3"/>
        <v>0</v>
      </c>
    </row>
    <row r="48" spans="1:24" ht="18" customHeight="1">
      <c r="A48" s="299" t="s">
        <v>211</v>
      </c>
      <c r="B48" s="775"/>
      <c r="C48" s="775"/>
      <c r="D48" s="775"/>
      <c r="E48" s="775"/>
      <c r="F48" s="775"/>
      <c r="G48" s="775"/>
      <c r="H48" s="775"/>
      <c r="I48" s="28"/>
      <c r="J48" s="648"/>
      <c r="K48" s="648"/>
      <c r="L48" s="648"/>
      <c r="M48" s="648"/>
      <c r="N48" s="674" t="s">
        <v>94</v>
      </c>
      <c r="O48" s="675" t="s">
        <v>200</v>
      </c>
      <c r="P48" s="676"/>
      <c r="Q48" s="677">
        <f t="shared" si="2"/>
        <v>0</v>
      </c>
      <c r="R48" s="586">
        <f t="shared" si="3"/>
        <v>0</v>
      </c>
    </row>
    <row r="49" spans="1:24" ht="18" customHeight="1">
      <c r="A49" s="299" t="s">
        <v>212</v>
      </c>
      <c r="B49" s="775"/>
      <c r="C49" s="775"/>
      <c r="D49" s="775"/>
      <c r="E49" s="775"/>
      <c r="F49" s="775"/>
      <c r="G49" s="775"/>
      <c r="H49" s="775"/>
      <c r="I49" s="28"/>
      <c r="J49" s="648"/>
      <c r="K49" s="648"/>
      <c r="L49" s="648"/>
      <c r="M49" s="648"/>
      <c r="N49" s="674" t="s">
        <v>94</v>
      </c>
      <c r="O49" s="675" t="s">
        <v>200</v>
      </c>
      <c r="P49" s="676"/>
      <c r="Q49" s="677">
        <f t="shared" si="2"/>
        <v>0</v>
      </c>
      <c r="R49" s="586">
        <f t="shared" si="3"/>
        <v>0</v>
      </c>
    </row>
    <row r="50" spans="1:24" ht="18" customHeight="1">
      <c r="A50" s="299" t="s">
        <v>213</v>
      </c>
      <c r="B50" s="775"/>
      <c r="C50" s="775"/>
      <c r="D50" s="775"/>
      <c r="E50" s="775"/>
      <c r="F50" s="775"/>
      <c r="G50" s="775"/>
      <c r="H50" s="775"/>
      <c r="I50" s="28"/>
      <c r="J50" s="648"/>
      <c r="K50" s="648"/>
      <c r="L50" s="648"/>
      <c r="M50" s="648"/>
      <c r="N50" s="674" t="s">
        <v>94</v>
      </c>
      <c r="O50" s="675" t="s">
        <v>200</v>
      </c>
      <c r="P50" s="676"/>
      <c r="Q50" s="677">
        <f t="shared" si="2"/>
        <v>0</v>
      </c>
      <c r="R50" s="586">
        <f t="shared" si="3"/>
        <v>0</v>
      </c>
    </row>
    <row r="51" spans="1:24" ht="18" customHeight="1">
      <c r="A51" s="299" t="s">
        <v>214</v>
      </c>
      <c r="B51" s="775"/>
      <c r="C51" s="775"/>
      <c r="D51" s="775"/>
      <c r="E51" s="775"/>
      <c r="F51" s="775"/>
      <c r="G51" s="775"/>
      <c r="H51" s="775"/>
      <c r="I51" s="28"/>
      <c r="J51" s="648"/>
      <c r="K51" s="648"/>
      <c r="L51" s="648"/>
      <c r="M51" s="648"/>
      <c r="N51" s="674" t="s">
        <v>94</v>
      </c>
      <c r="O51" s="675" t="s">
        <v>200</v>
      </c>
      <c r="P51" s="676"/>
      <c r="Q51" s="677">
        <f>IF(P51&lt;&gt;0,P51,IF(M51&lt;&gt;0,L51*((M51/2)*(M51/2))*3.14159,J51*K51*L51))</f>
        <v>0</v>
      </c>
      <c r="R51" s="586">
        <f>IF(N51="Ja",0,IF(N51="Nein",IF(M51&lt;&gt;0,((M51/2)*(M51/2))*3.14159,J51*K51)))</f>
        <v>0</v>
      </c>
    </row>
    <row r="52" spans="1:24" ht="18" customHeight="1">
      <c r="A52" s="299" t="s">
        <v>215</v>
      </c>
      <c r="B52" s="775"/>
      <c r="C52" s="775"/>
      <c r="D52" s="775"/>
      <c r="E52" s="775"/>
      <c r="F52" s="775"/>
      <c r="G52" s="775"/>
      <c r="H52" s="775"/>
      <c r="I52" s="28"/>
      <c r="J52" s="648"/>
      <c r="K52" s="648"/>
      <c r="L52" s="648"/>
      <c r="M52" s="648"/>
      <c r="N52" s="674" t="s">
        <v>94</v>
      </c>
      <c r="O52" s="675" t="s">
        <v>200</v>
      </c>
      <c r="P52" s="676"/>
      <c r="Q52" s="677">
        <f>IF(P52&lt;&gt;0,P52,IF(M52&lt;&gt;0,L52*((M52/2)*(M52/2))*3.14159,J52*K52*L52))</f>
        <v>0</v>
      </c>
      <c r="R52" s="586">
        <f>IF(N52="Ja",0,IF(N52="Nein",IF(M52&lt;&gt;0,((M52/2)*(M52/2))*3.14159,J52*K52)))</f>
        <v>0</v>
      </c>
    </row>
    <row r="53" spans="1:24" ht="18" customHeight="1">
      <c r="A53" s="299" t="s">
        <v>217</v>
      </c>
      <c r="B53" s="775"/>
      <c r="C53" s="775"/>
      <c r="D53" s="775"/>
      <c r="E53" s="775"/>
      <c r="F53" s="775"/>
      <c r="G53" s="775"/>
      <c r="H53" s="775"/>
      <c r="I53" s="28"/>
      <c r="J53" s="648"/>
      <c r="K53" s="648"/>
      <c r="L53" s="648"/>
      <c r="M53" s="648"/>
      <c r="N53" s="674" t="s">
        <v>94</v>
      </c>
      <c r="O53" s="675" t="s">
        <v>200</v>
      </c>
      <c r="P53" s="676"/>
      <c r="Q53" s="677">
        <f>IF(P53&lt;&gt;0,P53,IF(M53&lt;&gt;0,L53*((M53/2)*(M53/2))*3.14159,J53*K53*L53))</f>
        <v>0</v>
      </c>
      <c r="R53" s="586">
        <f>IF(N53="Ja",0,IF(N53="Nein",IF(M53&lt;&gt;0,((M53/2)*(M53/2))*3.14159,J53*K53)))</f>
        <v>0</v>
      </c>
      <c r="U53" s="532"/>
      <c r="V53" s="532"/>
    </row>
    <row r="54" spans="1:24" ht="18" customHeight="1">
      <c r="A54" s="299" t="s">
        <v>218</v>
      </c>
      <c r="B54" s="775"/>
      <c r="C54" s="775"/>
      <c r="D54" s="775"/>
      <c r="E54" s="775"/>
      <c r="F54" s="775"/>
      <c r="G54" s="775"/>
      <c r="H54" s="775"/>
      <c r="I54" s="28"/>
      <c r="J54" s="648"/>
      <c r="K54" s="648"/>
      <c r="L54" s="648"/>
      <c r="M54" s="648"/>
      <c r="N54" s="674" t="s">
        <v>94</v>
      </c>
      <c r="O54" s="675" t="s">
        <v>200</v>
      </c>
      <c r="P54" s="676"/>
      <c r="Q54" s="677">
        <f t="shared" si="2"/>
        <v>0</v>
      </c>
      <c r="R54" s="586">
        <f t="shared" si="3"/>
        <v>0</v>
      </c>
      <c r="U54" s="532"/>
      <c r="V54" s="532"/>
    </row>
    <row r="55" spans="1:24" ht="18" customHeight="1">
      <c r="A55" s="299" t="s">
        <v>230</v>
      </c>
      <c r="B55" s="775"/>
      <c r="C55" s="775"/>
      <c r="D55" s="775"/>
      <c r="E55" s="775"/>
      <c r="F55" s="775"/>
      <c r="G55" s="775"/>
      <c r="H55" s="775"/>
      <c r="I55" s="28"/>
      <c r="J55" s="648"/>
      <c r="K55" s="648"/>
      <c r="L55" s="648"/>
      <c r="M55" s="648"/>
      <c r="N55" s="674" t="s">
        <v>94</v>
      </c>
      <c r="O55" s="675" t="s">
        <v>200</v>
      </c>
      <c r="P55" s="676"/>
      <c r="Q55" s="677">
        <f t="shared" si="2"/>
        <v>0</v>
      </c>
      <c r="R55" s="586">
        <f t="shared" si="3"/>
        <v>0</v>
      </c>
      <c r="U55" s="532"/>
      <c r="V55" s="532"/>
    </row>
    <row r="56" spans="1:24" ht="18" customHeight="1" thickBot="1">
      <c r="A56" s="299" t="s">
        <v>231</v>
      </c>
      <c r="B56" s="776"/>
      <c r="C56" s="776"/>
      <c r="D56" s="776"/>
      <c r="E56" s="776"/>
      <c r="F56" s="776"/>
      <c r="G56" s="776"/>
      <c r="H56" s="776"/>
      <c r="I56" s="587"/>
      <c r="J56" s="678"/>
      <c r="K56" s="678"/>
      <c r="L56" s="678"/>
      <c r="M56" s="678"/>
      <c r="N56" s="679" t="s">
        <v>94</v>
      </c>
      <c r="O56" s="680" t="s">
        <v>200</v>
      </c>
      <c r="P56" s="681"/>
      <c r="Q56" s="682">
        <f t="shared" si="2"/>
        <v>0</v>
      </c>
      <c r="R56" s="588">
        <f t="shared" si="3"/>
        <v>0</v>
      </c>
      <c r="U56" s="532"/>
      <c r="V56" s="532"/>
    </row>
    <row r="57" spans="1:24" s="28" customFormat="1" ht="18" customHeight="1" thickBot="1">
      <c r="A57" s="522" t="s">
        <v>205</v>
      </c>
      <c r="B57" s="589"/>
      <c r="C57" s="589"/>
      <c r="D57" s="589"/>
      <c r="E57" s="581"/>
      <c r="F57" s="582"/>
      <c r="G57" s="582"/>
      <c r="H57" s="582"/>
      <c r="I57" s="590"/>
      <c r="J57" s="590"/>
      <c r="K57" s="590"/>
      <c r="L57" s="590"/>
      <c r="M57" s="590"/>
      <c r="N57" s="581"/>
      <c r="O57" s="581"/>
      <c r="P57" s="30"/>
      <c r="Q57" s="551">
        <f>SUM(Q43:Q56)</f>
        <v>0</v>
      </c>
      <c r="R57" s="591">
        <f>SUM(R43:R56)</f>
        <v>0</v>
      </c>
      <c r="T57" s="532"/>
      <c r="U57" s="532"/>
      <c r="V57" s="532"/>
      <c r="W57" s="532"/>
      <c r="X57" s="514"/>
    </row>
    <row r="58" spans="1:24" ht="9" customHeight="1" thickBot="1">
      <c r="A58" s="513"/>
      <c r="B58" s="270"/>
      <c r="C58" s="270"/>
      <c r="D58" s="270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507"/>
      <c r="R58" s="592"/>
    </row>
    <row r="59" spans="1:24" ht="18" customHeight="1" thickBot="1">
      <c r="A59" s="231" t="s">
        <v>333</v>
      </c>
      <c r="B59" s="270"/>
      <c r="C59" s="270"/>
      <c r="D59" s="270"/>
      <c r="E59" s="28"/>
      <c r="F59" s="28"/>
      <c r="G59" s="28"/>
      <c r="H59" s="28"/>
      <c r="I59" s="28"/>
      <c r="J59" s="28"/>
      <c r="K59" s="28"/>
      <c r="L59" s="28"/>
      <c r="M59" s="559" t="s">
        <v>259</v>
      </c>
      <c r="N59" s="28"/>
      <c r="O59" s="28"/>
      <c r="P59" s="560" t="s">
        <v>170</v>
      </c>
      <c r="Q59" s="551">
        <f>IF(Q57=0,,Q57/(Q40/IF(Q39=0,Q38,Q39)))</f>
        <v>0</v>
      </c>
      <c r="R59" s="592"/>
    </row>
    <row r="60" spans="1:24" ht="18" customHeight="1" thickBot="1">
      <c r="A60" s="231"/>
      <c r="B60" s="270"/>
      <c r="C60" s="270"/>
      <c r="D60" s="270"/>
      <c r="E60" s="28"/>
      <c r="F60" s="28"/>
      <c r="G60" s="28"/>
      <c r="H60" s="28"/>
      <c r="I60" s="28"/>
      <c r="J60" s="28"/>
      <c r="K60" s="28"/>
      <c r="L60" s="28"/>
      <c r="M60" s="559" t="str">
        <f>IF($Q$57&lt;=$Q$40,"Manko","Vorrat")</f>
        <v>Manko</v>
      </c>
      <c r="N60" s="28"/>
      <c r="O60" s="28"/>
      <c r="P60" s="593" t="s">
        <v>226</v>
      </c>
      <c r="Q60" s="562">
        <f>Q57-Q40</f>
        <v>0</v>
      </c>
      <c r="R60" s="592"/>
    </row>
    <row r="61" spans="1:24" s="28" customFormat="1" ht="18" customHeight="1" thickBot="1">
      <c r="A61" s="513"/>
      <c r="B61" s="270"/>
      <c r="C61" s="270"/>
      <c r="D61" s="270"/>
      <c r="E61" s="271"/>
      <c r="F61" s="272"/>
      <c r="G61" s="272"/>
      <c r="H61" s="272"/>
      <c r="I61" s="131"/>
      <c r="J61" s="131"/>
      <c r="K61" s="131"/>
      <c r="L61" s="131"/>
      <c r="M61" s="563" t="str">
        <f>M60</f>
        <v>Manko</v>
      </c>
      <c r="N61" s="271"/>
      <c r="P61" s="560" t="s">
        <v>170</v>
      </c>
      <c r="Q61" s="562">
        <f>IF(Q60=0,,Q60/(Q40/IF(Q39=0,Q38,Q39)))</f>
        <v>0</v>
      </c>
      <c r="R61" s="509"/>
      <c r="T61" s="532"/>
      <c r="U61" s="532"/>
      <c r="V61" s="532"/>
      <c r="W61" s="532"/>
      <c r="X61" s="514"/>
    </row>
    <row r="62" spans="1:24" s="28" customFormat="1" ht="18" customHeight="1" thickBot="1">
      <c r="A62" s="513"/>
      <c r="B62" s="270"/>
      <c r="C62" s="270"/>
      <c r="D62" s="270"/>
      <c r="E62" s="271"/>
      <c r="F62" s="272"/>
      <c r="G62" s="272"/>
      <c r="H62" s="272"/>
      <c r="I62" s="131"/>
      <c r="J62" s="131"/>
      <c r="K62" s="131"/>
      <c r="L62" s="131"/>
      <c r="M62" s="563" t="str">
        <f>M60</f>
        <v>Manko</v>
      </c>
      <c r="N62" s="271"/>
      <c r="O62" s="271"/>
      <c r="P62" s="560" t="s">
        <v>190</v>
      </c>
      <c r="Q62" s="594">
        <f>IF(Q60=0,,Q60/Q40%)</f>
        <v>0</v>
      </c>
      <c r="R62" s="595"/>
      <c r="T62" s="532"/>
      <c r="U62" s="532"/>
      <c r="V62" s="532"/>
      <c r="W62" s="532"/>
      <c r="X62" s="514"/>
    </row>
    <row r="63" spans="1:24" ht="6" customHeight="1" thickBot="1">
      <c r="A63" s="596"/>
      <c r="B63" s="597"/>
      <c r="C63" s="597"/>
      <c r="D63" s="597"/>
      <c r="E63" s="567"/>
      <c r="F63" s="568"/>
      <c r="G63" s="568"/>
      <c r="H63" s="568"/>
      <c r="I63" s="258"/>
      <c r="J63" s="258"/>
      <c r="K63" s="258"/>
      <c r="L63" s="258"/>
      <c r="M63" s="258"/>
      <c r="N63" s="567"/>
      <c r="O63" s="567"/>
      <c r="P63" s="258"/>
      <c r="Q63" s="598"/>
      <c r="R63" s="599"/>
    </row>
    <row r="64" spans="1:24" ht="9" customHeight="1">
      <c r="E64" s="271"/>
      <c r="F64" s="271"/>
      <c r="G64" s="271"/>
      <c r="H64" s="271"/>
      <c r="I64" s="271"/>
      <c r="J64" s="271"/>
      <c r="K64" s="271"/>
      <c r="L64" s="271"/>
      <c r="M64" s="271"/>
      <c r="N64" s="131"/>
      <c r="O64" s="131"/>
      <c r="P64" s="131"/>
      <c r="Q64" s="271"/>
      <c r="R64" s="271"/>
    </row>
    <row r="65" spans="1:18" ht="15.75">
      <c r="A65" s="261" t="s">
        <v>102</v>
      </c>
      <c r="F65" s="139"/>
      <c r="G65" s="139"/>
      <c r="H65" s="139"/>
      <c r="J65" s="5"/>
    </row>
    <row r="66" spans="1:18" ht="17.25" customHeight="1">
      <c r="A66" s="751"/>
      <c r="B66" s="751"/>
      <c r="C66" s="751"/>
      <c r="D66" s="751"/>
      <c r="E66" s="751"/>
      <c r="F66" s="751"/>
      <c r="G66" s="751"/>
      <c r="H66" s="751"/>
      <c r="I66" s="751"/>
      <c r="J66" s="751"/>
      <c r="K66" s="751"/>
      <c r="L66" s="751"/>
      <c r="M66" s="751"/>
      <c r="N66" s="751"/>
      <c r="O66" s="751"/>
      <c r="P66" s="751"/>
      <c r="Q66" s="751"/>
      <c r="R66" s="751"/>
    </row>
    <row r="67" spans="1:18" ht="17.25" customHeight="1">
      <c r="A67" s="751"/>
      <c r="B67" s="751"/>
      <c r="C67" s="751"/>
      <c r="D67" s="751"/>
      <c r="E67" s="751"/>
      <c r="F67" s="751"/>
      <c r="G67" s="751"/>
      <c r="H67" s="751"/>
      <c r="I67" s="751"/>
      <c r="J67" s="751"/>
      <c r="K67" s="751"/>
      <c r="L67" s="751"/>
      <c r="M67" s="751"/>
      <c r="N67" s="751"/>
      <c r="O67" s="751"/>
      <c r="P67" s="751"/>
      <c r="Q67" s="751"/>
      <c r="R67" s="751"/>
    </row>
    <row r="68" spans="1:18" ht="17.25" customHeight="1">
      <c r="A68" s="751"/>
      <c r="B68" s="751"/>
      <c r="C68" s="751"/>
      <c r="D68" s="751"/>
      <c r="E68" s="751"/>
      <c r="F68" s="751"/>
      <c r="G68" s="751"/>
      <c r="H68" s="751"/>
      <c r="I68" s="751"/>
      <c r="J68" s="751"/>
      <c r="K68" s="751"/>
      <c r="L68" s="751"/>
      <c r="M68" s="751"/>
      <c r="N68" s="751"/>
      <c r="O68" s="751"/>
      <c r="P68" s="751"/>
      <c r="Q68" s="751"/>
      <c r="R68" s="751"/>
    </row>
    <row r="69" spans="1:18" ht="17.25" customHeight="1">
      <c r="A69" s="751"/>
      <c r="B69" s="751"/>
      <c r="C69" s="751"/>
      <c r="D69" s="751"/>
      <c r="E69" s="751"/>
      <c r="F69" s="751"/>
      <c r="G69" s="751"/>
      <c r="H69" s="751"/>
      <c r="I69" s="751"/>
      <c r="J69" s="751"/>
      <c r="K69" s="751"/>
      <c r="L69" s="751"/>
      <c r="M69" s="751"/>
      <c r="N69" s="751"/>
      <c r="O69" s="751"/>
      <c r="P69" s="751"/>
      <c r="Q69" s="751"/>
      <c r="R69" s="751"/>
    </row>
    <row r="70" spans="1:18" ht="9" customHeight="1"/>
  </sheetData>
  <sheetProtection password="D19B" sheet="1" objects="1" scenarios="1"/>
  <mergeCells count="26">
    <mergeCell ref="B52:H52"/>
    <mergeCell ref="B53:H53"/>
    <mergeCell ref="B45:H45"/>
    <mergeCell ref="B46:H46"/>
    <mergeCell ref="B47:H47"/>
    <mergeCell ref="B48:H48"/>
    <mergeCell ref="B56:H56"/>
    <mergeCell ref="R38:R39"/>
    <mergeCell ref="B55:H55"/>
    <mergeCell ref="C2:F2"/>
    <mergeCell ref="H2:K2"/>
    <mergeCell ref="M2:P2"/>
    <mergeCell ref="B49:H49"/>
    <mergeCell ref="B54:H54"/>
    <mergeCell ref="Q4:R4"/>
    <mergeCell ref="B51:H51"/>
    <mergeCell ref="A66:R69"/>
    <mergeCell ref="B17:H17"/>
    <mergeCell ref="B18:H18"/>
    <mergeCell ref="B19:H19"/>
    <mergeCell ref="B20:H20"/>
    <mergeCell ref="B21:H21"/>
    <mergeCell ref="B22:H22"/>
    <mergeCell ref="B43:H43"/>
    <mergeCell ref="B44:H44"/>
    <mergeCell ref="B50:H50"/>
  </mergeCells>
  <dataValidations count="1">
    <dataValidation type="list" showInputMessage="1" showErrorMessage="1" promptTitle="Zone" sqref="N43:N56">
      <formula1>Div.Tab.Grundlagen!$C$17:$C$18</formula1>
    </dataValidation>
  </dataValidations>
  <pageMargins left="0.78740157480314965" right="0.59055118110236227" top="0.39370078740157483" bottom="0.39370078740157483" header="0.31496062992125984" footer="0.31496062992125984"/>
  <pageSetup paperSize="9" scale="67" orientation="portrait" r:id="rId1"/>
  <headerFooter alignWithMargins="0">
    <oddFooter>&amp;L&amp;9 &amp;F / &amp;A / Druckdatum: &amp;D&amp;R&amp;P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2"/>
  <dimension ref="B2:E43"/>
  <sheetViews>
    <sheetView workbookViewId="0"/>
  </sheetViews>
  <sheetFormatPr baseColWidth="10" defaultRowHeight="12.75"/>
  <cols>
    <col min="1" max="1" width="11.42578125" style="1"/>
    <col min="2" max="2" width="33.85546875" style="1" customWidth="1"/>
    <col min="3" max="3" width="13.7109375" style="1" customWidth="1"/>
    <col min="4" max="4" width="11" style="1" customWidth="1"/>
    <col min="5" max="5" width="12.42578125" style="1" customWidth="1"/>
    <col min="6" max="6" width="5.5703125" style="1" customWidth="1"/>
    <col min="7" max="16384" width="11.42578125" style="1"/>
  </cols>
  <sheetData>
    <row r="2" spans="2:5">
      <c r="D2" s="1" t="s">
        <v>80</v>
      </c>
      <c r="E2" s="1" t="s">
        <v>97</v>
      </c>
    </row>
    <row r="3" spans="2:5">
      <c r="B3" s="1" t="s">
        <v>74</v>
      </c>
      <c r="C3" s="98" t="s">
        <v>321</v>
      </c>
      <c r="D3" s="99">
        <v>0</v>
      </c>
      <c r="E3" s="99">
        <v>0</v>
      </c>
    </row>
    <row r="4" spans="2:5">
      <c r="B4" s="98" t="s">
        <v>81</v>
      </c>
      <c r="C4" s="98" t="s">
        <v>87</v>
      </c>
      <c r="D4" s="99">
        <v>4</v>
      </c>
      <c r="E4" s="99">
        <v>5</v>
      </c>
    </row>
    <row r="5" spans="2:5">
      <c r="B5" s="98" t="s">
        <v>82</v>
      </c>
      <c r="C5" s="98" t="s">
        <v>88</v>
      </c>
      <c r="D5" s="99">
        <v>4.5</v>
      </c>
      <c r="E5" s="99">
        <v>5.5</v>
      </c>
    </row>
    <row r="6" spans="2:5">
      <c r="B6" s="98" t="s">
        <v>83</v>
      </c>
      <c r="C6" s="98" t="s">
        <v>89</v>
      </c>
      <c r="D6" s="99">
        <v>5</v>
      </c>
      <c r="E6" s="99">
        <v>6</v>
      </c>
    </row>
    <row r="7" spans="2:5">
      <c r="B7" s="98" t="s">
        <v>84</v>
      </c>
      <c r="C7" s="98" t="s">
        <v>90</v>
      </c>
      <c r="D7" s="99">
        <v>5.5</v>
      </c>
      <c r="E7" s="99">
        <v>6.5</v>
      </c>
    </row>
    <row r="8" spans="2:5">
      <c r="B8" s="98" t="s">
        <v>85</v>
      </c>
      <c r="C8" s="98" t="s">
        <v>91</v>
      </c>
      <c r="D8" s="99">
        <v>6</v>
      </c>
      <c r="E8" s="99">
        <v>7</v>
      </c>
    </row>
    <row r="9" spans="2:5">
      <c r="B9" s="98" t="s">
        <v>86</v>
      </c>
      <c r="C9" s="98" t="s">
        <v>92</v>
      </c>
      <c r="D9" s="99">
        <v>6.5</v>
      </c>
      <c r="E9" s="99">
        <v>7</v>
      </c>
    </row>
    <row r="10" spans="2:5">
      <c r="B10" s="98" t="s">
        <v>96</v>
      </c>
      <c r="C10" s="98" t="s">
        <v>95</v>
      </c>
      <c r="D10" s="99">
        <v>1</v>
      </c>
    </row>
    <row r="11" spans="2:5">
      <c r="C11" s="98"/>
    </row>
    <row r="12" spans="2:5">
      <c r="B12" s="98" t="s">
        <v>223</v>
      </c>
      <c r="C12" s="98"/>
    </row>
    <row r="13" spans="2:5">
      <c r="B13" s="98" t="s">
        <v>94</v>
      </c>
      <c r="C13" s="100" t="s">
        <v>94</v>
      </c>
    </row>
    <row r="14" spans="2:5">
      <c r="B14" s="98" t="s">
        <v>93</v>
      </c>
      <c r="C14" s="100" t="s">
        <v>93</v>
      </c>
    </row>
    <row r="16" spans="2:5">
      <c r="B16" s="98" t="s">
        <v>224</v>
      </c>
      <c r="C16" s="98"/>
    </row>
    <row r="17" spans="2:3">
      <c r="B17" s="1" t="s">
        <v>94</v>
      </c>
      <c r="C17" s="100" t="s">
        <v>94</v>
      </c>
    </row>
    <row r="18" spans="2:3">
      <c r="B18" s="1" t="s">
        <v>93</v>
      </c>
      <c r="C18" s="100" t="s">
        <v>93</v>
      </c>
    </row>
    <row r="20" spans="2:3">
      <c r="B20" s="98" t="s">
        <v>227</v>
      </c>
    </row>
    <row r="21" spans="2:3">
      <c r="B21" s="1" t="s">
        <v>94</v>
      </c>
      <c r="C21" s="100" t="s">
        <v>94</v>
      </c>
    </row>
    <row r="22" spans="2:3">
      <c r="B22" s="1" t="s">
        <v>93</v>
      </c>
      <c r="C22" s="100" t="s">
        <v>93</v>
      </c>
    </row>
    <row r="24" spans="2:3">
      <c r="B24" s="98" t="s">
        <v>322</v>
      </c>
    </row>
    <row r="25" spans="2:3">
      <c r="B25" s="98" t="s">
        <v>286</v>
      </c>
      <c r="C25" s="1" t="s">
        <v>260</v>
      </c>
    </row>
    <row r="26" spans="2:3">
      <c r="B26" s="98" t="s">
        <v>288</v>
      </c>
      <c r="C26" s="1" t="s">
        <v>261</v>
      </c>
    </row>
    <row r="27" spans="2:3">
      <c r="B27" s="98" t="s">
        <v>289</v>
      </c>
      <c r="C27" s="1" t="s">
        <v>262</v>
      </c>
    </row>
    <row r="28" spans="2:3">
      <c r="B28" s="98" t="s">
        <v>290</v>
      </c>
      <c r="C28" s="1" t="s">
        <v>263</v>
      </c>
    </row>
    <row r="29" spans="2:3">
      <c r="B29" s="98" t="s">
        <v>291</v>
      </c>
      <c r="C29" s="1" t="s">
        <v>264</v>
      </c>
    </row>
    <row r="30" spans="2:3">
      <c r="B30" s="98" t="s">
        <v>292</v>
      </c>
      <c r="C30" s="1" t="s">
        <v>265</v>
      </c>
    </row>
    <row r="31" spans="2:3">
      <c r="B31" s="98" t="s">
        <v>293</v>
      </c>
      <c r="C31" s="1" t="s">
        <v>265</v>
      </c>
    </row>
    <row r="32" spans="2:3">
      <c r="B32" s="98" t="s">
        <v>294</v>
      </c>
      <c r="C32" s="1" t="s">
        <v>265</v>
      </c>
    </row>
    <row r="33" spans="2:3">
      <c r="B33" s="98" t="s">
        <v>295</v>
      </c>
      <c r="C33" s="1" t="s">
        <v>265</v>
      </c>
    </row>
    <row r="34" spans="2:3">
      <c r="B34" s="98" t="s">
        <v>296</v>
      </c>
      <c r="C34" s="1" t="s">
        <v>266</v>
      </c>
    </row>
    <row r="35" spans="2:3">
      <c r="B35" s="98" t="s">
        <v>297</v>
      </c>
      <c r="C35" s="1" t="s">
        <v>267</v>
      </c>
    </row>
    <row r="36" spans="2:3">
      <c r="B36" s="98" t="s">
        <v>298</v>
      </c>
      <c r="C36" s="1" t="s">
        <v>268</v>
      </c>
    </row>
    <row r="37" spans="2:3">
      <c r="B37" s="98" t="s">
        <v>299</v>
      </c>
      <c r="C37" s="1" t="s">
        <v>268</v>
      </c>
    </row>
    <row r="38" spans="2:3">
      <c r="B38" s="98" t="s">
        <v>300</v>
      </c>
      <c r="C38" s="1" t="s">
        <v>268</v>
      </c>
    </row>
    <row r="39" spans="2:3">
      <c r="B39" s="98" t="s">
        <v>301</v>
      </c>
      <c r="C39" s="1" t="s">
        <v>269</v>
      </c>
    </row>
    <row r="40" spans="2:3">
      <c r="B40" s="98" t="s">
        <v>302</v>
      </c>
      <c r="C40" s="1" t="s">
        <v>269</v>
      </c>
    </row>
    <row r="41" spans="2:3">
      <c r="B41" s="98" t="s">
        <v>287</v>
      </c>
      <c r="C41" s="1" t="s">
        <v>270</v>
      </c>
    </row>
    <row r="42" spans="2:3">
      <c r="B42" s="98" t="s">
        <v>303</v>
      </c>
      <c r="C42" s="1" t="s">
        <v>270</v>
      </c>
    </row>
    <row r="43" spans="2:3">
      <c r="B43" s="98" t="s">
        <v>304</v>
      </c>
      <c r="C43" s="1" t="s">
        <v>270</v>
      </c>
    </row>
  </sheetData>
  <dataValidations count="1">
    <dataValidation type="whole" allowBlank="1" showInputMessage="1" showErrorMessage="1" sqref="C4">
      <formula1>C4</formula1>
      <formula2>C9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6"/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7"/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5">
    <pageSetUpPr fitToPage="1"/>
  </sheetPr>
  <dimension ref="A1:V112"/>
  <sheetViews>
    <sheetView showGridLines="0" zoomScaleNormal="100" workbookViewId="0">
      <pane xSplit="16" ySplit="3" topLeftCell="Q4" activePane="bottomRight" state="frozen"/>
      <selection pane="topRight" activeCell="Q1" sqref="Q1"/>
      <selection pane="bottomLeft" activeCell="A4" sqref="A4"/>
      <selection pane="bottomRight" activeCell="D6" sqref="D6"/>
    </sheetView>
  </sheetViews>
  <sheetFormatPr baseColWidth="10" defaultRowHeight="12.75"/>
  <cols>
    <col min="1" max="1" width="9.7109375" style="3" customWidth="1"/>
    <col min="2" max="2" width="17.85546875" style="2" customWidth="1"/>
    <col min="3" max="3" width="8.7109375" style="2" customWidth="1"/>
    <col min="4" max="5" width="7.7109375" style="2" customWidth="1"/>
    <col min="6" max="6" width="7.7109375" style="6" customWidth="1"/>
    <col min="7" max="7" width="7.7109375" style="4" customWidth="1"/>
    <col min="8" max="8" width="7.7109375" style="5" customWidth="1"/>
    <col min="9" max="9" width="7.7109375" style="8" customWidth="1"/>
    <col min="10" max="10" width="7.7109375" style="4" customWidth="1"/>
    <col min="11" max="11" width="7.7109375" style="5" customWidth="1"/>
    <col min="12" max="12" width="7.7109375" style="4" customWidth="1"/>
    <col min="13" max="13" width="7.7109375" style="8" customWidth="1"/>
    <col min="14" max="14" width="7.7109375" style="4" customWidth="1"/>
    <col min="15" max="15" width="7.7109375" style="5" customWidth="1"/>
    <col min="16" max="16" width="2.5703125" style="4" customWidth="1"/>
    <col min="17" max="17" width="7.7109375" style="7" customWidth="1"/>
    <col min="18" max="19" width="7.7109375" style="3" customWidth="1"/>
    <col min="20" max="16384" width="11.42578125" style="3"/>
  </cols>
  <sheetData>
    <row r="1" spans="1:22" ht="20.25" customHeight="1">
      <c r="A1" s="13"/>
      <c r="B1" s="14"/>
      <c r="C1" s="14"/>
      <c r="D1" s="15"/>
      <c r="E1" s="16"/>
      <c r="F1" s="17" t="s">
        <v>181</v>
      </c>
      <c r="G1" s="18"/>
      <c r="H1" s="18"/>
      <c r="I1" s="18"/>
      <c r="J1" s="17" t="s">
        <v>186</v>
      </c>
      <c r="K1" s="19"/>
      <c r="L1" s="18"/>
      <c r="M1" s="18"/>
      <c r="N1" s="18"/>
      <c r="O1" s="18"/>
      <c r="P1" s="785" t="s">
        <v>240</v>
      </c>
      <c r="Q1" s="20" t="s">
        <v>246</v>
      </c>
      <c r="R1" s="783" t="s">
        <v>247</v>
      </c>
      <c r="S1" s="784"/>
    </row>
    <row r="2" spans="1:22" ht="82.5" customHeight="1">
      <c r="A2" s="21"/>
      <c r="B2" s="22"/>
      <c r="C2" s="22"/>
      <c r="D2" s="23" t="s">
        <v>12</v>
      </c>
      <c r="E2" s="24" t="s">
        <v>239</v>
      </c>
      <c r="F2" s="25" t="s">
        <v>28</v>
      </c>
      <c r="G2" s="788" t="s">
        <v>310</v>
      </c>
      <c r="H2" s="789"/>
      <c r="I2" s="26" t="s">
        <v>34</v>
      </c>
      <c r="J2" s="788" t="s">
        <v>183</v>
      </c>
      <c r="K2" s="789"/>
      <c r="L2" s="788" t="s">
        <v>182</v>
      </c>
      <c r="M2" s="789"/>
      <c r="N2" s="788" t="s">
        <v>184</v>
      </c>
      <c r="O2" s="789"/>
      <c r="P2" s="786"/>
      <c r="Q2" s="27" t="s">
        <v>307</v>
      </c>
      <c r="R2" s="781" t="s">
        <v>308</v>
      </c>
      <c r="S2" s="782"/>
      <c r="T2" s="28"/>
      <c r="U2" s="29"/>
      <c r="V2" s="28"/>
    </row>
    <row r="3" spans="1:22" s="620" customFormat="1" ht="35.25" customHeight="1">
      <c r="A3" s="607"/>
      <c r="B3" s="608"/>
      <c r="C3" s="608"/>
      <c r="D3" s="609"/>
      <c r="E3" s="610"/>
      <c r="F3" s="611" t="s">
        <v>311</v>
      </c>
      <c r="G3" s="612" t="s">
        <v>312</v>
      </c>
      <c r="H3" s="613" t="s">
        <v>316</v>
      </c>
      <c r="I3" s="614" t="s">
        <v>317</v>
      </c>
      <c r="J3" s="612" t="s">
        <v>312</v>
      </c>
      <c r="K3" s="613" t="s">
        <v>313</v>
      </c>
      <c r="L3" s="612" t="s">
        <v>312</v>
      </c>
      <c r="M3" s="613" t="s">
        <v>314</v>
      </c>
      <c r="N3" s="612" t="s">
        <v>312</v>
      </c>
      <c r="O3" s="613" t="s">
        <v>315</v>
      </c>
      <c r="P3" s="787"/>
      <c r="Q3" s="615"/>
      <c r="R3" s="616"/>
      <c r="S3" s="617"/>
      <c r="T3" s="618"/>
      <c r="U3" s="619"/>
      <c r="V3" s="618"/>
    </row>
    <row r="4" spans="1:22" ht="4.5" customHeight="1">
      <c r="F4" s="10"/>
      <c r="G4" s="8"/>
      <c r="H4" s="8"/>
      <c r="J4" s="8"/>
      <c r="K4" s="8"/>
      <c r="L4" s="8"/>
      <c r="N4" s="8"/>
      <c r="O4" s="8"/>
      <c r="P4" s="8"/>
      <c r="Q4" s="11"/>
    </row>
    <row r="5" spans="1:22" ht="18" customHeight="1">
      <c r="A5" s="69" t="s">
        <v>306</v>
      </c>
      <c r="B5" s="69"/>
      <c r="C5" s="69"/>
      <c r="D5" s="69"/>
      <c r="E5" s="69"/>
      <c r="F5" s="70"/>
      <c r="G5" s="71"/>
      <c r="H5" s="72"/>
      <c r="I5" s="73"/>
      <c r="J5" s="72"/>
      <c r="K5" s="12"/>
      <c r="L5" s="8"/>
      <c r="N5" s="8"/>
      <c r="O5" s="8"/>
      <c r="P5" s="8"/>
      <c r="Q5" s="11"/>
    </row>
    <row r="6" spans="1:22" ht="15.75" customHeight="1">
      <c r="A6" s="31" t="s">
        <v>0</v>
      </c>
      <c r="B6" s="32" t="s">
        <v>160</v>
      </c>
      <c r="C6" s="33">
        <f>Tierbestand!F13</f>
        <v>6500</v>
      </c>
      <c r="D6" s="34" t="s">
        <v>1</v>
      </c>
      <c r="E6" s="35">
        <v>1</v>
      </c>
      <c r="F6" s="36">
        <f>11.5+(($C$6/1000-1.5)*2.3)-$Q$6</f>
        <v>23</v>
      </c>
      <c r="G6" s="37">
        <f>5.75+(($C$6/1000-1.5)*1.15)-$Q$6/2</f>
        <v>11.5</v>
      </c>
      <c r="H6" s="38">
        <f>4.45+(($C$6/1000-1.5)*0.89)-$R$6</f>
        <v>8.9</v>
      </c>
      <c r="I6" s="50">
        <f>10.5+(($C$6/1000-1.5)*2.1)-$S$6</f>
        <v>21</v>
      </c>
      <c r="J6" s="37">
        <f>8.65+(($C$6/1000-1.5)*1.73)-$Q$6/2</f>
        <v>17.3</v>
      </c>
      <c r="K6" s="38">
        <f>2.65+(($C$6/1000-1.5)*0.53)-$R$6</f>
        <v>5.3000000000000007</v>
      </c>
      <c r="L6" s="37">
        <f>5.75+(($C$6/1000-1.5)*1.15)-$Q$6/2</f>
        <v>11.5</v>
      </c>
      <c r="M6" s="38">
        <f>5.25+(($C$6/1000-1.5)*1.05)-$R$6</f>
        <v>10.5</v>
      </c>
      <c r="N6" s="37">
        <f>2.9+(($C$6/1000-1.5)*0.58)-$Q$6/2</f>
        <v>5.8</v>
      </c>
      <c r="O6" s="38">
        <f>7.9+(($C$6/1000-1.5)*1.58)-$R$6</f>
        <v>15.8</v>
      </c>
      <c r="P6" s="40"/>
      <c r="Q6" s="41">
        <f>IF($C$6&gt;6500,($C$6/1000-6.5)*1.1,0)</f>
        <v>0</v>
      </c>
      <c r="R6" s="41">
        <f>IF($C$6&gt;6500,($C$6/1000-6.5)*0.445,0)</f>
        <v>0</v>
      </c>
      <c r="S6" s="41">
        <f>IF($C$6&gt;6500,($C$6/1000-6.5)*1,0)</f>
        <v>0</v>
      </c>
      <c r="T6" s="28"/>
      <c r="U6" s="28"/>
      <c r="V6" s="28"/>
    </row>
    <row r="7" spans="1:22" ht="15.75" customHeight="1">
      <c r="A7" s="42" t="s">
        <v>245</v>
      </c>
      <c r="B7" s="43"/>
      <c r="C7" s="44">
        <f>C6</f>
        <v>6500</v>
      </c>
      <c r="D7" s="45" t="s">
        <v>1</v>
      </c>
      <c r="E7" s="46">
        <v>1</v>
      </c>
      <c r="F7" s="47">
        <f>12.3+(($C$6/1000-1.5)*2.46)-$Q$7</f>
        <v>24.6</v>
      </c>
      <c r="G7" s="48">
        <f>6.15+(($C$6/1000-1.5)*1.23)-$Q$7/2</f>
        <v>12.3</v>
      </c>
      <c r="H7" s="49">
        <f>4.75+(($C$6/1000-1.5)*0.95)-$R$7</f>
        <v>9.5</v>
      </c>
      <c r="I7" s="50">
        <f>11.25+(($C$6/1000-1.5)*2.25)-$S$7</f>
        <v>22.5</v>
      </c>
      <c r="J7" s="48">
        <f>9.25+(($C$6/1000-1.5)*1.85)-$Q$7/2</f>
        <v>18.5</v>
      </c>
      <c r="K7" s="49">
        <f>2.85+(($C$6/1000-1.5)*0.57)-$R$7</f>
        <v>5.6999999999999993</v>
      </c>
      <c r="L7" s="48">
        <f>6.15+(($C$6/1000-1.5)*1.23)-$Q$7/2</f>
        <v>12.3</v>
      </c>
      <c r="M7" s="49">
        <f>5.6+(($C$6/1000-1.5)*1.12)-$R$7</f>
        <v>11.2</v>
      </c>
      <c r="N7" s="48">
        <f>3.1+(($C$6/1000-1.5)*0.62)-$Q$7/2</f>
        <v>6.2</v>
      </c>
      <c r="O7" s="49">
        <f>8.45+(($C$6/1000-1.5)*1.69)-$R$7</f>
        <v>16.899999999999999</v>
      </c>
      <c r="P7" s="51"/>
      <c r="Q7" s="52">
        <f>IF($C$6&gt;6500,($C$6/1000-6.5)*1.177,0)</f>
        <v>0</v>
      </c>
      <c r="R7" s="53">
        <f>IF($C$6&gt;6500,($C$6/1000-6.5)*0.475,0)</f>
        <v>0</v>
      </c>
      <c r="S7" s="53">
        <f>IF($C$6&gt;6500,($C$6/1000-6.5)*1.07,0)</f>
        <v>0</v>
      </c>
      <c r="T7" s="28"/>
      <c r="U7" s="28"/>
      <c r="V7" s="28"/>
    </row>
    <row r="8" spans="1:22" ht="15.75" customHeight="1">
      <c r="A8" s="54" t="s">
        <v>241</v>
      </c>
      <c r="B8" s="55"/>
      <c r="C8" s="55"/>
      <c r="D8" s="45" t="s">
        <v>1</v>
      </c>
      <c r="E8" s="46">
        <v>1</v>
      </c>
      <c r="F8" s="47">
        <v>16.100000000000001</v>
      </c>
      <c r="G8" s="48">
        <v>8.1</v>
      </c>
      <c r="H8" s="49">
        <v>6.2</v>
      </c>
      <c r="I8" s="50">
        <v>14.7</v>
      </c>
      <c r="J8" s="48">
        <v>12.1</v>
      </c>
      <c r="K8" s="49">
        <v>3.7</v>
      </c>
      <c r="L8" s="48">
        <v>8.1</v>
      </c>
      <c r="M8" s="49">
        <v>7.4</v>
      </c>
      <c r="N8" s="48">
        <v>4.0999999999999996</v>
      </c>
      <c r="O8" s="49">
        <v>11.1</v>
      </c>
      <c r="P8" s="51"/>
    </row>
    <row r="9" spans="1:22" ht="15.75" customHeight="1">
      <c r="A9" s="54" t="s">
        <v>2</v>
      </c>
      <c r="B9" s="55"/>
      <c r="C9" s="55"/>
      <c r="D9" s="45" t="s">
        <v>1</v>
      </c>
      <c r="E9" s="46">
        <v>0.3</v>
      </c>
      <c r="F9" s="47">
        <v>5.5</v>
      </c>
      <c r="G9" s="48">
        <v>2.7</v>
      </c>
      <c r="H9" s="49">
        <v>2</v>
      </c>
      <c r="I9" s="56">
        <v>5</v>
      </c>
      <c r="J9" s="57">
        <v>4.0999999999999996</v>
      </c>
      <c r="K9" s="58">
        <v>1.3</v>
      </c>
      <c r="L9" s="57">
        <v>2.8</v>
      </c>
      <c r="M9" s="58">
        <v>2.5</v>
      </c>
      <c r="N9" s="57">
        <v>1.4</v>
      </c>
      <c r="O9" s="58">
        <v>3.8</v>
      </c>
      <c r="P9" s="51"/>
    </row>
    <row r="10" spans="1:22" ht="15.75" customHeight="1">
      <c r="A10" s="54" t="s">
        <v>3</v>
      </c>
      <c r="B10" s="55"/>
      <c r="C10" s="55"/>
      <c r="D10" s="45" t="s">
        <v>1</v>
      </c>
      <c r="E10" s="46">
        <v>0.4</v>
      </c>
      <c r="F10" s="47">
        <v>8</v>
      </c>
      <c r="G10" s="48">
        <v>4</v>
      </c>
      <c r="H10" s="49">
        <v>3</v>
      </c>
      <c r="I10" s="56">
        <v>7</v>
      </c>
      <c r="J10" s="57">
        <v>6</v>
      </c>
      <c r="K10" s="58">
        <v>1.8</v>
      </c>
      <c r="L10" s="57">
        <v>4</v>
      </c>
      <c r="M10" s="58">
        <v>3.5</v>
      </c>
      <c r="N10" s="57">
        <v>2</v>
      </c>
      <c r="O10" s="58">
        <v>5.3</v>
      </c>
      <c r="P10" s="51"/>
    </row>
    <row r="11" spans="1:22" ht="15.75" customHeight="1">
      <c r="A11" s="54" t="s">
        <v>4</v>
      </c>
      <c r="B11" s="55"/>
      <c r="C11" s="55"/>
      <c r="D11" s="45" t="s">
        <v>5</v>
      </c>
      <c r="E11" s="46">
        <v>0.6</v>
      </c>
      <c r="F11" s="47">
        <v>11</v>
      </c>
      <c r="G11" s="48">
        <v>5.5</v>
      </c>
      <c r="H11" s="49">
        <v>4</v>
      </c>
      <c r="I11" s="56">
        <v>10</v>
      </c>
      <c r="J11" s="57">
        <v>8.3000000000000007</v>
      </c>
      <c r="K11" s="58">
        <v>2.5</v>
      </c>
      <c r="L11" s="57">
        <v>5.5</v>
      </c>
      <c r="M11" s="58">
        <v>5</v>
      </c>
      <c r="N11" s="57">
        <v>2.8</v>
      </c>
      <c r="O11" s="58">
        <v>7.5</v>
      </c>
      <c r="P11" s="51"/>
    </row>
    <row r="12" spans="1:22" ht="15.75" customHeight="1">
      <c r="A12" s="54" t="s">
        <v>38</v>
      </c>
      <c r="B12" s="55"/>
      <c r="C12" s="55"/>
      <c r="D12" s="45" t="s">
        <v>1</v>
      </c>
      <c r="E12" s="46">
        <v>0.6</v>
      </c>
      <c r="F12" s="47">
        <v>17.600000000000001</v>
      </c>
      <c r="G12" s="48">
        <v>8.8000000000000007</v>
      </c>
      <c r="H12" s="49">
        <v>6.8</v>
      </c>
      <c r="I12" s="56">
        <v>16</v>
      </c>
      <c r="J12" s="57">
        <v>13.2</v>
      </c>
      <c r="K12" s="58">
        <v>4</v>
      </c>
      <c r="L12" s="57">
        <v>8.8000000000000007</v>
      </c>
      <c r="M12" s="58">
        <v>8</v>
      </c>
      <c r="N12" s="57">
        <v>4.4000000000000004</v>
      </c>
      <c r="O12" s="58">
        <v>12</v>
      </c>
      <c r="P12" s="51"/>
    </row>
    <row r="13" spans="1:22" ht="15.75" customHeight="1">
      <c r="A13" s="59" t="s">
        <v>8</v>
      </c>
      <c r="B13" s="60"/>
      <c r="C13" s="60"/>
      <c r="D13" s="61"/>
      <c r="E13" s="62"/>
      <c r="F13" s="63"/>
      <c r="G13" s="64"/>
      <c r="H13" s="65"/>
      <c r="I13" s="63"/>
      <c r="J13" s="66"/>
      <c r="K13" s="67"/>
      <c r="L13" s="66"/>
      <c r="M13" s="67"/>
      <c r="N13" s="66"/>
      <c r="O13" s="67"/>
      <c r="P13" s="68"/>
    </row>
    <row r="14" spans="1:22" ht="4.5" customHeight="1">
      <c r="F14" s="10"/>
      <c r="G14" s="8"/>
      <c r="H14" s="8"/>
      <c r="J14" s="8"/>
      <c r="K14" s="8"/>
      <c r="L14" s="8"/>
      <c r="N14" s="8"/>
      <c r="O14" s="8"/>
      <c r="P14" s="8"/>
      <c r="Q14" s="11"/>
    </row>
    <row r="15" spans="1:22" ht="4.5" customHeight="1">
      <c r="F15" s="10"/>
      <c r="G15" s="8"/>
      <c r="H15" s="8"/>
      <c r="J15" s="8"/>
      <c r="K15" s="8"/>
      <c r="L15" s="8"/>
      <c r="N15" s="8"/>
      <c r="O15" s="8"/>
      <c r="P15" s="8"/>
      <c r="Q15" s="11"/>
    </row>
    <row r="16" spans="1:22" ht="18" customHeight="1">
      <c r="A16" s="69" t="s">
        <v>141</v>
      </c>
      <c r="B16" s="69"/>
      <c r="C16" s="69"/>
      <c r="D16" s="69"/>
      <c r="E16" s="69"/>
      <c r="F16" s="70"/>
      <c r="G16" s="71"/>
      <c r="H16" s="72"/>
      <c r="I16" s="73"/>
      <c r="J16" s="72"/>
      <c r="K16" s="12"/>
      <c r="L16" s="8"/>
      <c r="N16" s="8"/>
      <c r="O16" s="8"/>
      <c r="P16" s="8"/>
      <c r="Q16" s="11"/>
    </row>
    <row r="17" spans="1:17" ht="15.75" customHeight="1">
      <c r="A17" s="74" t="s">
        <v>161</v>
      </c>
      <c r="B17" s="75"/>
      <c r="C17" s="75"/>
      <c r="D17" s="34" t="s">
        <v>1</v>
      </c>
      <c r="E17" s="35">
        <v>0.8</v>
      </c>
      <c r="F17" s="36">
        <v>15.5</v>
      </c>
      <c r="G17" s="37">
        <v>8</v>
      </c>
      <c r="H17" s="38">
        <v>6</v>
      </c>
      <c r="I17" s="39">
        <v>14</v>
      </c>
      <c r="J17" s="37">
        <v>11.6</v>
      </c>
      <c r="K17" s="38">
        <v>3.5</v>
      </c>
      <c r="L17" s="37">
        <v>7.8</v>
      </c>
      <c r="M17" s="38">
        <v>7</v>
      </c>
      <c r="N17" s="37">
        <v>3.9</v>
      </c>
      <c r="O17" s="38">
        <v>10.5</v>
      </c>
      <c r="P17" s="40"/>
    </row>
    <row r="18" spans="1:17" ht="15.75" customHeight="1">
      <c r="A18" s="54" t="s">
        <v>162</v>
      </c>
      <c r="B18" s="55"/>
      <c r="C18" s="55"/>
      <c r="D18" s="45" t="s">
        <v>1</v>
      </c>
      <c r="E18" s="46">
        <v>0.8</v>
      </c>
      <c r="F18" s="47">
        <v>13.6</v>
      </c>
      <c r="G18" s="57">
        <v>7</v>
      </c>
      <c r="H18" s="58">
        <v>5.3</v>
      </c>
      <c r="I18" s="56">
        <v>12.2</v>
      </c>
      <c r="J18" s="57">
        <v>10.1</v>
      </c>
      <c r="K18" s="58">
        <v>3</v>
      </c>
      <c r="L18" s="57">
        <v>6.7</v>
      </c>
      <c r="M18" s="58">
        <v>6.1</v>
      </c>
      <c r="N18" s="57">
        <v>3.4</v>
      </c>
      <c r="O18" s="58">
        <v>9.1</v>
      </c>
      <c r="P18" s="51"/>
    </row>
    <row r="19" spans="1:17" ht="15.75" customHeight="1">
      <c r="A19" s="54" t="s">
        <v>163</v>
      </c>
      <c r="B19" s="55"/>
      <c r="C19" s="55"/>
      <c r="D19" s="45" t="s">
        <v>1</v>
      </c>
      <c r="E19" s="46">
        <v>0.8</v>
      </c>
      <c r="F19" s="47">
        <v>17.2</v>
      </c>
      <c r="G19" s="57">
        <v>8.9</v>
      </c>
      <c r="H19" s="58">
        <v>6.7</v>
      </c>
      <c r="I19" s="56">
        <v>15.5</v>
      </c>
      <c r="J19" s="57">
        <v>12.9</v>
      </c>
      <c r="K19" s="58">
        <v>3.9</v>
      </c>
      <c r="L19" s="57">
        <v>8.6</v>
      </c>
      <c r="M19" s="58">
        <v>7.8</v>
      </c>
      <c r="N19" s="57">
        <v>4.3</v>
      </c>
      <c r="O19" s="58">
        <v>11.7</v>
      </c>
      <c r="P19" s="51"/>
    </row>
    <row r="20" spans="1:17" ht="15.75" customHeight="1">
      <c r="A20" s="54" t="s">
        <v>164</v>
      </c>
      <c r="B20" s="55"/>
      <c r="C20" s="55"/>
      <c r="D20" s="45" t="s">
        <v>1</v>
      </c>
      <c r="E20" s="46">
        <v>0.17</v>
      </c>
      <c r="F20" s="76"/>
      <c r="G20" s="57">
        <v>1.8</v>
      </c>
      <c r="H20" s="58">
        <v>1.4</v>
      </c>
      <c r="I20" s="56">
        <v>3</v>
      </c>
      <c r="J20" s="77"/>
      <c r="K20" s="78"/>
      <c r="L20" s="57">
        <v>1.8</v>
      </c>
      <c r="M20" s="58">
        <v>1.4</v>
      </c>
      <c r="N20" s="77"/>
      <c r="O20" s="78"/>
      <c r="P20" s="51"/>
    </row>
    <row r="21" spans="1:17" ht="15.75" customHeight="1">
      <c r="A21" s="54" t="s">
        <v>165</v>
      </c>
      <c r="B21" s="55"/>
      <c r="C21" s="55"/>
      <c r="D21" s="45" t="s">
        <v>1</v>
      </c>
      <c r="E21" s="46">
        <v>0.17</v>
      </c>
      <c r="F21" s="76"/>
      <c r="G21" s="57">
        <v>2.2999999999999998</v>
      </c>
      <c r="H21" s="58">
        <v>1.8</v>
      </c>
      <c r="I21" s="56">
        <v>3.9</v>
      </c>
      <c r="J21" s="77"/>
      <c r="K21" s="78"/>
      <c r="L21" s="57">
        <v>2.2999999999999998</v>
      </c>
      <c r="M21" s="58">
        <v>1.8</v>
      </c>
      <c r="N21" s="77"/>
      <c r="O21" s="78"/>
      <c r="P21" s="51"/>
    </row>
    <row r="22" spans="1:17" ht="15.75" customHeight="1">
      <c r="A22" s="54" t="s">
        <v>38</v>
      </c>
      <c r="B22" s="55"/>
      <c r="C22" s="55"/>
      <c r="D22" s="45" t="s">
        <v>1</v>
      </c>
      <c r="E22" s="46">
        <v>0.6</v>
      </c>
      <c r="F22" s="47">
        <v>17.600000000000001</v>
      </c>
      <c r="G22" s="48">
        <v>8.8000000000000007</v>
      </c>
      <c r="H22" s="49">
        <v>6.8</v>
      </c>
      <c r="I22" s="56">
        <v>16</v>
      </c>
      <c r="J22" s="57">
        <v>13.2</v>
      </c>
      <c r="K22" s="58">
        <v>4</v>
      </c>
      <c r="L22" s="57">
        <v>8.8000000000000007</v>
      </c>
      <c r="M22" s="58">
        <v>8</v>
      </c>
      <c r="N22" s="57">
        <v>4.4000000000000004</v>
      </c>
      <c r="O22" s="58">
        <v>12</v>
      </c>
      <c r="P22" s="51"/>
    </row>
    <row r="23" spans="1:17" ht="15.75" customHeight="1">
      <c r="A23" s="79" t="s">
        <v>8</v>
      </c>
      <c r="B23" s="60"/>
      <c r="C23" s="60"/>
      <c r="D23" s="80"/>
      <c r="E23" s="81"/>
      <c r="F23" s="63"/>
      <c r="G23" s="66"/>
      <c r="H23" s="67"/>
      <c r="I23" s="63"/>
      <c r="J23" s="66"/>
      <c r="K23" s="67"/>
      <c r="L23" s="66"/>
      <c r="M23" s="67"/>
      <c r="N23" s="66"/>
      <c r="O23" s="67"/>
      <c r="P23" s="68"/>
    </row>
    <row r="24" spans="1:17" ht="4.5" customHeight="1">
      <c r="F24" s="10"/>
      <c r="G24" s="8"/>
      <c r="H24" s="8"/>
      <c r="J24" s="8"/>
      <c r="K24" s="8"/>
      <c r="L24" s="8"/>
      <c r="N24" s="8"/>
      <c r="O24" s="8"/>
      <c r="P24" s="8"/>
    </row>
    <row r="25" spans="1:17" ht="4.5" customHeight="1">
      <c r="F25" s="10"/>
      <c r="G25" s="8"/>
      <c r="H25" s="8"/>
      <c r="J25" s="8"/>
      <c r="K25" s="8"/>
      <c r="L25" s="8"/>
      <c r="N25" s="8"/>
      <c r="O25" s="8"/>
      <c r="P25" s="8"/>
    </row>
    <row r="26" spans="1:17" ht="18" customHeight="1">
      <c r="A26" s="69" t="s">
        <v>33</v>
      </c>
      <c r="B26" s="69"/>
      <c r="C26" s="69"/>
      <c r="D26" s="69"/>
      <c r="E26" s="69"/>
      <c r="F26" s="70"/>
      <c r="G26" s="71"/>
      <c r="H26" s="72"/>
      <c r="I26" s="73"/>
      <c r="J26" s="72"/>
      <c r="K26" s="12"/>
      <c r="L26" s="8"/>
      <c r="N26" s="8"/>
      <c r="O26" s="8"/>
      <c r="P26" s="8"/>
      <c r="Q26" s="11"/>
    </row>
    <row r="27" spans="1:17" ht="15.75" customHeight="1">
      <c r="A27" s="74" t="s">
        <v>6</v>
      </c>
      <c r="B27" s="75"/>
      <c r="C27" s="75"/>
      <c r="D27" s="34" t="s">
        <v>5</v>
      </c>
      <c r="E27" s="35">
        <v>0.1</v>
      </c>
      <c r="F27" s="82"/>
      <c r="G27" s="83"/>
      <c r="H27" s="84"/>
      <c r="I27" s="39">
        <v>2.2000000000000002</v>
      </c>
      <c r="J27" s="83"/>
      <c r="K27" s="84"/>
      <c r="L27" s="83"/>
      <c r="M27" s="84"/>
      <c r="N27" s="83"/>
      <c r="O27" s="84"/>
      <c r="P27" s="40"/>
    </row>
    <row r="28" spans="1:17" ht="15.75" customHeight="1">
      <c r="A28" s="54" t="s">
        <v>7</v>
      </c>
      <c r="B28" s="55"/>
      <c r="C28" s="55"/>
      <c r="D28" s="45" t="s">
        <v>1</v>
      </c>
      <c r="E28" s="46">
        <v>0.04</v>
      </c>
      <c r="F28" s="76"/>
      <c r="G28" s="77"/>
      <c r="H28" s="78"/>
      <c r="I28" s="56">
        <v>0.8</v>
      </c>
      <c r="J28" s="77"/>
      <c r="K28" s="78"/>
      <c r="L28" s="77"/>
      <c r="M28" s="78"/>
      <c r="N28" s="77"/>
      <c r="O28" s="78"/>
      <c r="P28" s="51"/>
    </row>
    <row r="29" spans="1:17" ht="15.75" customHeight="1">
      <c r="A29" s="54" t="s">
        <v>250</v>
      </c>
      <c r="B29" s="55"/>
      <c r="C29" s="55"/>
      <c r="D29" s="45" t="s">
        <v>5</v>
      </c>
      <c r="E29" s="46">
        <v>0.31</v>
      </c>
      <c r="F29" s="47">
        <v>5.8</v>
      </c>
      <c r="G29" s="77"/>
      <c r="H29" s="78"/>
      <c r="I29" s="56">
        <v>5.3</v>
      </c>
      <c r="J29" s="57">
        <v>4.4000000000000004</v>
      </c>
      <c r="K29" s="58">
        <v>1.3</v>
      </c>
      <c r="L29" s="57">
        <v>2.9</v>
      </c>
      <c r="M29" s="58">
        <v>2.6</v>
      </c>
      <c r="N29" s="57">
        <v>1.5</v>
      </c>
      <c r="O29" s="58">
        <v>4</v>
      </c>
      <c r="P29" s="51"/>
    </row>
    <row r="30" spans="1:17" ht="15.75" customHeight="1">
      <c r="A30" s="54" t="s">
        <v>167</v>
      </c>
      <c r="B30" s="55"/>
      <c r="C30" s="55"/>
      <c r="D30" s="45" t="s">
        <v>5</v>
      </c>
      <c r="E30" s="46">
        <v>0.08</v>
      </c>
      <c r="F30" s="47">
        <v>4.5</v>
      </c>
      <c r="G30" s="77"/>
      <c r="H30" s="78"/>
      <c r="I30" s="56">
        <v>4.0999999999999996</v>
      </c>
      <c r="J30" s="57">
        <v>3.6</v>
      </c>
      <c r="K30" s="58">
        <v>0.8</v>
      </c>
      <c r="L30" s="57">
        <v>2.5</v>
      </c>
      <c r="M30" s="58">
        <v>1.9</v>
      </c>
      <c r="N30" s="57">
        <v>0.9</v>
      </c>
      <c r="O30" s="58">
        <v>3</v>
      </c>
      <c r="P30" s="51"/>
    </row>
    <row r="31" spans="1:17" ht="15.75" customHeight="1">
      <c r="A31" s="54" t="s">
        <v>168</v>
      </c>
      <c r="B31" s="55"/>
      <c r="C31" s="55"/>
      <c r="D31" s="45" t="s">
        <v>5</v>
      </c>
      <c r="E31" s="46">
        <v>0.4</v>
      </c>
      <c r="F31" s="47">
        <v>7.5</v>
      </c>
      <c r="G31" s="77"/>
      <c r="H31" s="78"/>
      <c r="I31" s="56">
        <v>6.8</v>
      </c>
      <c r="J31" s="57">
        <v>5.6</v>
      </c>
      <c r="K31" s="58">
        <v>1.7</v>
      </c>
      <c r="L31" s="57">
        <v>3.8</v>
      </c>
      <c r="M31" s="58">
        <v>3.4</v>
      </c>
      <c r="N31" s="57">
        <v>1.9</v>
      </c>
      <c r="O31" s="58">
        <v>5.0999999999999996</v>
      </c>
      <c r="P31" s="51"/>
    </row>
    <row r="32" spans="1:17" ht="15.75" customHeight="1">
      <c r="A32" s="54" t="s">
        <v>39</v>
      </c>
      <c r="B32" s="55"/>
      <c r="C32" s="55"/>
      <c r="D32" s="45" t="s">
        <v>5</v>
      </c>
      <c r="E32" s="46">
        <v>0.18</v>
      </c>
      <c r="F32" s="47">
        <v>3.8</v>
      </c>
      <c r="G32" s="77"/>
      <c r="H32" s="78"/>
      <c r="I32" s="56">
        <v>3.3</v>
      </c>
      <c r="J32" s="57">
        <v>6</v>
      </c>
      <c r="K32" s="58">
        <v>1.4</v>
      </c>
      <c r="L32" s="57">
        <v>4.3</v>
      </c>
      <c r="M32" s="58">
        <v>3.1</v>
      </c>
      <c r="N32" s="57">
        <v>1.9</v>
      </c>
      <c r="O32" s="58">
        <v>5.0999999999999996</v>
      </c>
      <c r="P32" s="51"/>
    </row>
    <row r="33" spans="1:17" ht="15.75" customHeight="1">
      <c r="A33" s="54" t="s">
        <v>46</v>
      </c>
      <c r="B33" s="55"/>
      <c r="C33" s="55"/>
      <c r="D33" s="45" t="s">
        <v>1</v>
      </c>
      <c r="E33" s="46">
        <v>0.03</v>
      </c>
      <c r="F33" s="47">
        <v>0.6</v>
      </c>
      <c r="G33" s="77"/>
      <c r="H33" s="78"/>
      <c r="I33" s="56">
        <v>0.6</v>
      </c>
      <c r="J33" s="57">
        <v>0.5</v>
      </c>
      <c r="K33" s="58">
        <v>0.1</v>
      </c>
      <c r="L33" s="57">
        <v>0.3</v>
      </c>
      <c r="M33" s="58">
        <v>0.2</v>
      </c>
      <c r="N33" s="57">
        <v>0.2</v>
      </c>
      <c r="O33" s="58">
        <v>0.4</v>
      </c>
      <c r="P33" s="51"/>
    </row>
    <row r="34" spans="1:17" ht="15.75" customHeight="1">
      <c r="A34" s="54" t="s">
        <v>42</v>
      </c>
      <c r="B34" s="55"/>
      <c r="C34" s="55"/>
      <c r="D34" s="45" t="s">
        <v>5</v>
      </c>
      <c r="E34" s="46">
        <v>0.4</v>
      </c>
      <c r="F34" s="47">
        <v>8.6999999999999993</v>
      </c>
      <c r="G34" s="77"/>
      <c r="H34" s="78"/>
      <c r="I34" s="56">
        <v>7.9</v>
      </c>
      <c r="J34" s="57">
        <v>6.5</v>
      </c>
      <c r="K34" s="58">
        <v>2</v>
      </c>
      <c r="L34" s="57">
        <v>4.4000000000000004</v>
      </c>
      <c r="M34" s="58">
        <v>4</v>
      </c>
      <c r="N34" s="57">
        <v>2.2000000000000002</v>
      </c>
      <c r="O34" s="58">
        <v>5.9</v>
      </c>
      <c r="P34" s="51"/>
    </row>
    <row r="35" spans="1:17" ht="15.75" customHeight="1">
      <c r="A35" s="54" t="s">
        <v>249</v>
      </c>
      <c r="B35" s="55"/>
      <c r="C35" s="55"/>
      <c r="D35" s="45" t="s">
        <v>1</v>
      </c>
      <c r="E35" s="46">
        <v>0.37</v>
      </c>
      <c r="F35" s="47">
        <v>7.5</v>
      </c>
      <c r="G35" s="77"/>
      <c r="H35" s="78"/>
      <c r="I35" s="56">
        <v>6.8</v>
      </c>
      <c r="J35" s="57">
        <v>6</v>
      </c>
      <c r="K35" s="58">
        <v>1.4</v>
      </c>
      <c r="L35" s="57">
        <v>4.0999999999999996</v>
      </c>
      <c r="M35" s="58">
        <v>3.1</v>
      </c>
      <c r="N35" s="57">
        <v>1.9</v>
      </c>
      <c r="O35" s="58">
        <v>5.0999999999999996</v>
      </c>
      <c r="P35" s="51"/>
    </row>
    <row r="36" spans="1:17" ht="15.75" customHeight="1">
      <c r="A36" s="54" t="s">
        <v>40</v>
      </c>
      <c r="B36" s="55"/>
      <c r="C36" s="55"/>
      <c r="D36" s="45" t="s">
        <v>5</v>
      </c>
      <c r="E36" s="46">
        <v>0.17</v>
      </c>
      <c r="F36" s="47">
        <v>3.4</v>
      </c>
      <c r="G36" s="77"/>
      <c r="H36" s="78"/>
      <c r="I36" s="56">
        <v>3.1</v>
      </c>
      <c r="J36" s="57">
        <v>2.7</v>
      </c>
      <c r="K36" s="58">
        <v>0.6</v>
      </c>
      <c r="L36" s="57">
        <v>1.9</v>
      </c>
      <c r="M36" s="58">
        <v>1.4</v>
      </c>
      <c r="N36" s="57">
        <v>0.9</v>
      </c>
      <c r="O36" s="58">
        <v>2.2999999999999998</v>
      </c>
      <c r="P36" s="51"/>
    </row>
    <row r="37" spans="1:17" ht="15.75" customHeight="1">
      <c r="A37" s="54" t="s">
        <v>41</v>
      </c>
      <c r="B37" s="55"/>
      <c r="C37" s="55"/>
      <c r="D37" s="45" t="s">
        <v>5</v>
      </c>
      <c r="E37" s="46">
        <v>0.3</v>
      </c>
      <c r="F37" s="47">
        <v>7.5</v>
      </c>
      <c r="G37" s="77"/>
      <c r="H37" s="78"/>
      <c r="I37" s="56">
        <v>6.8</v>
      </c>
      <c r="J37" s="57">
        <v>6</v>
      </c>
      <c r="K37" s="58">
        <v>1.4</v>
      </c>
      <c r="L37" s="57">
        <v>4.0999999999999996</v>
      </c>
      <c r="M37" s="58">
        <v>3.1</v>
      </c>
      <c r="N37" s="57">
        <v>1.9</v>
      </c>
      <c r="O37" s="58">
        <v>5.0999999999999996</v>
      </c>
      <c r="P37" s="51"/>
    </row>
    <row r="38" spans="1:17" ht="15.75" customHeight="1">
      <c r="A38" s="54" t="s">
        <v>169</v>
      </c>
      <c r="B38" s="55"/>
      <c r="C38" s="55"/>
      <c r="D38" s="45" t="s">
        <v>5</v>
      </c>
      <c r="E38" s="46">
        <v>0.4</v>
      </c>
      <c r="F38" s="47">
        <v>7.5</v>
      </c>
      <c r="G38" s="77"/>
      <c r="H38" s="78"/>
      <c r="I38" s="56">
        <v>6.8</v>
      </c>
      <c r="J38" s="57">
        <v>6</v>
      </c>
      <c r="K38" s="58">
        <v>1.4</v>
      </c>
      <c r="L38" s="57">
        <v>4.0999999999999996</v>
      </c>
      <c r="M38" s="58">
        <v>3.1</v>
      </c>
      <c r="N38" s="57">
        <v>1.9</v>
      </c>
      <c r="O38" s="58">
        <v>5.0999999999999996</v>
      </c>
      <c r="P38" s="51"/>
    </row>
    <row r="39" spans="1:17" ht="15.75" customHeight="1">
      <c r="A39" s="54" t="s">
        <v>166</v>
      </c>
      <c r="B39" s="55"/>
      <c r="C39" s="55"/>
      <c r="D39" s="45" t="s">
        <v>5</v>
      </c>
      <c r="E39" s="46">
        <v>0.4</v>
      </c>
      <c r="F39" s="47">
        <v>9.6</v>
      </c>
      <c r="G39" s="77"/>
      <c r="H39" s="78"/>
      <c r="I39" s="56">
        <v>8.6999999999999993</v>
      </c>
      <c r="J39" s="57">
        <v>7.2</v>
      </c>
      <c r="K39" s="58">
        <v>2.2000000000000002</v>
      </c>
      <c r="L39" s="57">
        <v>4.8</v>
      </c>
      <c r="M39" s="58">
        <v>4.4000000000000004</v>
      </c>
      <c r="N39" s="57">
        <v>2.4</v>
      </c>
      <c r="O39" s="58">
        <v>6.6</v>
      </c>
      <c r="P39" s="51"/>
    </row>
    <row r="40" spans="1:17" ht="15.75" customHeight="1">
      <c r="A40" s="54" t="s">
        <v>43</v>
      </c>
      <c r="B40" s="55"/>
      <c r="C40" s="55"/>
      <c r="D40" s="45" t="s">
        <v>5</v>
      </c>
      <c r="E40" s="46">
        <v>0.36</v>
      </c>
      <c r="F40" s="47">
        <v>7.5</v>
      </c>
      <c r="G40" s="77"/>
      <c r="H40" s="78"/>
      <c r="I40" s="56">
        <v>6.8</v>
      </c>
      <c r="J40" s="57">
        <v>6</v>
      </c>
      <c r="K40" s="58">
        <v>1.4</v>
      </c>
      <c r="L40" s="57">
        <v>4.0999999999999996</v>
      </c>
      <c r="M40" s="58">
        <v>3.1</v>
      </c>
      <c r="N40" s="57">
        <v>1.9</v>
      </c>
      <c r="O40" s="58">
        <v>5.0999999999999996</v>
      </c>
      <c r="P40" s="51"/>
    </row>
    <row r="41" spans="1:17" ht="15.75" customHeight="1">
      <c r="A41" s="54" t="s">
        <v>44</v>
      </c>
      <c r="B41" s="55"/>
      <c r="C41" s="55"/>
      <c r="D41" s="45" t="s">
        <v>5</v>
      </c>
      <c r="E41" s="46">
        <v>0.23</v>
      </c>
      <c r="F41" s="47">
        <v>5</v>
      </c>
      <c r="G41" s="77"/>
      <c r="H41" s="78"/>
      <c r="I41" s="56">
        <v>4.4000000000000004</v>
      </c>
      <c r="J41" s="57">
        <v>4</v>
      </c>
      <c r="K41" s="58">
        <v>0.9</v>
      </c>
      <c r="L41" s="57">
        <v>2.4</v>
      </c>
      <c r="M41" s="58">
        <v>2</v>
      </c>
      <c r="N41" s="57">
        <v>1.3</v>
      </c>
      <c r="O41" s="58">
        <v>3.3</v>
      </c>
      <c r="P41" s="51"/>
    </row>
    <row r="42" spans="1:17" ht="15.75" customHeight="1">
      <c r="A42" s="54" t="s">
        <v>47</v>
      </c>
      <c r="B42" s="55"/>
      <c r="C42" s="55"/>
      <c r="D42" s="45" t="s">
        <v>1</v>
      </c>
      <c r="E42" s="46">
        <v>0.17</v>
      </c>
      <c r="F42" s="47">
        <v>3.8</v>
      </c>
      <c r="G42" s="77"/>
      <c r="H42" s="78"/>
      <c r="I42" s="56">
        <v>3.3</v>
      </c>
      <c r="J42" s="57">
        <v>3</v>
      </c>
      <c r="K42" s="58">
        <v>0.7</v>
      </c>
      <c r="L42" s="57">
        <v>1.8</v>
      </c>
      <c r="M42" s="58">
        <v>1.5</v>
      </c>
      <c r="N42" s="57">
        <v>0.9</v>
      </c>
      <c r="O42" s="58">
        <v>2.5</v>
      </c>
      <c r="P42" s="51"/>
    </row>
    <row r="43" spans="1:17" ht="15.75" customHeight="1">
      <c r="A43" s="54" t="s">
        <v>45</v>
      </c>
      <c r="B43" s="55"/>
      <c r="C43" s="55"/>
      <c r="D43" s="45" t="s">
        <v>5</v>
      </c>
      <c r="E43" s="46">
        <v>0.5</v>
      </c>
      <c r="F43" s="47">
        <v>11</v>
      </c>
      <c r="G43" s="77"/>
      <c r="H43" s="78"/>
      <c r="I43" s="56">
        <v>9.6</v>
      </c>
      <c r="J43" s="57">
        <v>8.8000000000000007</v>
      </c>
      <c r="K43" s="58">
        <v>1.9</v>
      </c>
      <c r="L43" s="57">
        <v>5.3</v>
      </c>
      <c r="M43" s="58">
        <v>4.3</v>
      </c>
      <c r="N43" s="57">
        <v>2.8</v>
      </c>
      <c r="O43" s="58">
        <v>7.2</v>
      </c>
      <c r="P43" s="51"/>
    </row>
    <row r="44" spans="1:17" ht="15.75" customHeight="1">
      <c r="A44" s="54" t="s">
        <v>48</v>
      </c>
      <c r="B44" s="55"/>
      <c r="C44" s="55"/>
      <c r="D44" s="45" t="s">
        <v>1</v>
      </c>
      <c r="E44" s="46">
        <v>0.4</v>
      </c>
      <c r="F44" s="47">
        <v>8.9</v>
      </c>
      <c r="G44" s="77"/>
      <c r="H44" s="78"/>
      <c r="I44" s="56">
        <v>7.8</v>
      </c>
      <c r="J44" s="57">
        <v>7.1</v>
      </c>
      <c r="K44" s="58">
        <v>1.6</v>
      </c>
      <c r="L44" s="57">
        <v>4.3</v>
      </c>
      <c r="M44" s="58">
        <v>3.5</v>
      </c>
      <c r="N44" s="57">
        <v>2.2000000000000002</v>
      </c>
      <c r="O44" s="58">
        <v>5.8</v>
      </c>
      <c r="P44" s="51"/>
    </row>
    <row r="45" spans="1:17" ht="15.75" customHeight="1">
      <c r="A45" s="79" t="s">
        <v>8</v>
      </c>
      <c r="B45" s="60"/>
      <c r="C45" s="60"/>
      <c r="D45" s="80"/>
      <c r="E45" s="81"/>
      <c r="F45" s="63"/>
      <c r="G45" s="66"/>
      <c r="H45" s="67"/>
      <c r="I45" s="63"/>
      <c r="J45" s="66"/>
      <c r="K45" s="67"/>
      <c r="L45" s="66"/>
      <c r="M45" s="67"/>
      <c r="N45" s="66"/>
      <c r="O45" s="67"/>
      <c r="P45" s="68"/>
    </row>
    <row r="46" spans="1:17" ht="4.5" customHeight="1">
      <c r="F46" s="10"/>
      <c r="G46" s="8"/>
      <c r="H46" s="8"/>
      <c r="J46" s="8"/>
      <c r="K46" s="8"/>
      <c r="L46" s="8"/>
      <c r="N46" s="8"/>
      <c r="O46" s="8"/>
      <c r="P46" s="8"/>
    </row>
    <row r="47" spans="1:17" ht="4.5" customHeight="1">
      <c r="F47" s="10"/>
      <c r="G47" s="8"/>
      <c r="H47" s="8"/>
      <c r="J47" s="8"/>
      <c r="K47" s="8"/>
      <c r="L47" s="8"/>
      <c r="N47" s="8"/>
      <c r="O47" s="8"/>
      <c r="P47" s="8"/>
    </row>
    <row r="48" spans="1:17" ht="18" customHeight="1">
      <c r="A48" s="69" t="s">
        <v>146</v>
      </c>
      <c r="B48" s="69"/>
      <c r="C48" s="69"/>
      <c r="D48" s="69"/>
      <c r="E48" s="69"/>
      <c r="F48" s="70"/>
      <c r="G48" s="71"/>
      <c r="H48" s="72"/>
      <c r="I48" s="73"/>
      <c r="J48" s="72"/>
      <c r="K48" s="12"/>
      <c r="L48" s="8"/>
      <c r="N48" s="8"/>
      <c r="O48" s="8"/>
      <c r="P48" s="8"/>
      <c r="Q48" s="11"/>
    </row>
    <row r="49" spans="1:16" ht="15.75" customHeight="1">
      <c r="A49" s="74" t="s">
        <v>49</v>
      </c>
      <c r="B49" s="75"/>
      <c r="C49" s="75"/>
      <c r="D49" s="34" t="s">
        <v>5</v>
      </c>
      <c r="E49" s="35">
        <v>0.2</v>
      </c>
      <c r="F49" s="82"/>
      <c r="G49" s="83"/>
      <c r="H49" s="84"/>
      <c r="I49" s="39">
        <v>1.6</v>
      </c>
      <c r="J49" s="83"/>
      <c r="K49" s="84"/>
      <c r="L49" s="83"/>
      <c r="M49" s="84"/>
      <c r="N49" s="83"/>
      <c r="O49" s="84"/>
      <c r="P49" s="40"/>
    </row>
    <row r="50" spans="1:16" ht="15.75" customHeight="1">
      <c r="A50" s="54" t="s">
        <v>144</v>
      </c>
      <c r="B50" s="55"/>
      <c r="C50" s="55"/>
      <c r="D50" s="45" t="s">
        <v>5</v>
      </c>
      <c r="E50" s="46">
        <v>0.17</v>
      </c>
      <c r="F50" s="76"/>
      <c r="G50" s="77"/>
      <c r="H50" s="78"/>
      <c r="I50" s="56">
        <v>1.5</v>
      </c>
      <c r="J50" s="77"/>
      <c r="K50" s="78"/>
      <c r="L50" s="77"/>
      <c r="M50" s="78"/>
      <c r="N50" s="77"/>
      <c r="O50" s="78"/>
      <c r="P50" s="51"/>
    </row>
    <row r="51" spans="1:16" ht="15.75" customHeight="1">
      <c r="A51" s="54" t="s">
        <v>51</v>
      </c>
      <c r="B51" s="55"/>
      <c r="C51" s="55"/>
      <c r="D51" s="45" t="s">
        <v>5</v>
      </c>
      <c r="E51" s="46">
        <v>0.17</v>
      </c>
      <c r="F51" s="76"/>
      <c r="G51" s="77"/>
      <c r="H51" s="78"/>
      <c r="I51" s="56">
        <v>1.7</v>
      </c>
      <c r="J51" s="77"/>
      <c r="K51" s="78"/>
      <c r="L51" s="77"/>
      <c r="M51" s="78"/>
      <c r="N51" s="77"/>
      <c r="O51" s="78"/>
      <c r="P51" s="51"/>
    </row>
    <row r="52" spans="1:16" ht="15.75" customHeight="1">
      <c r="A52" s="54" t="s">
        <v>50</v>
      </c>
      <c r="B52" s="55"/>
      <c r="C52" s="55"/>
      <c r="D52" s="45" t="s">
        <v>5</v>
      </c>
      <c r="E52" s="46">
        <v>0.25</v>
      </c>
      <c r="F52" s="76"/>
      <c r="G52" s="77"/>
      <c r="H52" s="78"/>
      <c r="I52" s="56">
        <v>2.2999999999999998</v>
      </c>
      <c r="J52" s="77"/>
      <c r="K52" s="78"/>
      <c r="L52" s="77"/>
      <c r="M52" s="78"/>
      <c r="N52" s="77"/>
      <c r="O52" s="78"/>
      <c r="P52" s="51"/>
    </row>
    <row r="53" spans="1:16" ht="15.75" customHeight="1">
      <c r="A53" s="54" t="s">
        <v>52</v>
      </c>
      <c r="B53" s="55"/>
      <c r="C53" s="55"/>
      <c r="D53" s="45" t="s">
        <v>1</v>
      </c>
      <c r="E53" s="46">
        <v>0.03</v>
      </c>
      <c r="F53" s="76"/>
      <c r="G53" s="77"/>
      <c r="H53" s="78"/>
      <c r="I53" s="56">
        <v>0.3</v>
      </c>
      <c r="J53" s="77"/>
      <c r="K53" s="78"/>
      <c r="L53" s="77"/>
      <c r="M53" s="78"/>
      <c r="N53" s="77"/>
      <c r="O53" s="78"/>
      <c r="P53" s="51"/>
    </row>
    <row r="54" spans="1:16" ht="15.75" customHeight="1">
      <c r="A54" s="54" t="s">
        <v>145</v>
      </c>
      <c r="B54" s="55"/>
      <c r="C54" s="55"/>
      <c r="D54" s="45" t="s">
        <v>5</v>
      </c>
      <c r="E54" s="46">
        <v>0.17</v>
      </c>
      <c r="F54" s="76"/>
      <c r="G54" s="77"/>
      <c r="H54" s="78"/>
      <c r="I54" s="56">
        <v>1.7</v>
      </c>
      <c r="J54" s="77"/>
      <c r="K54" s="78"/>
      <c r="L54" s="77"/>
      <c r="M54" s="78"/>
      <c r="N54" s="77"/>
      <c r="O54" s="78"/>
      <c r="P54" s="51"/>
    </row>
    <row r="55" spans="1:16" ht="15.75" customHeight="1">
      <c r="A55" s="79" t="s">
        <v>8</v>
      </c>
      <c r="B55" s="60"/>
      <c r="C55" s="60"/>
      <c r="D55" s="80"/>
      <c r="E55" s="81"/>
      <c r="F55" s="63"/>
      <c r="G55" s="66"/>
      <c r="H55" s="67"/>
      <c r="I55" s="63"/>
      <c r="J55" s="66"/>
      <c r="K55" s="67"/>
      <c r="L55" s="66"/>
      <c r="M55" s="67"/>
      <c r="N55" s="66"/>
      <c r="O55" s="67"/>
      <c r="P55" s="68"/>
    </row>
    <row r="56" spans="1:16" ht="4.5" customHeight="1">
      <c r="F56" s="10"/>
      <c r="G56" s="8"/>
      <c r="H56" s="8"/>
      <c r="J56" s="8"/>
      <c r="K56" s="8"/>
      <c r="L56" s="8"/>
      <c r="N56" s="8"/>
      <c r="O56" s="8"/>
      <c r="P56" s="8"/>
    </row>
    <row r="57" spans="1:16" ht="4.5" customHeight="1">
      <c r="F57" s="10"/>
      <c r="G57" s="8"/>
      <c r="H57" s="8"/>
      <c r="J57" s="8"/>
      <c r="K57" s="8"/>
      <c r="L57" s="8"/>
      <c r="N57" s="8"/>
      <c r="O57" s="8"/>
      <c r="P57" s="8"/>
    </row>
    <row r="58" spans="1:16" ht="15">
      <c r="A58" s="69" t="s">
        <v>147</v>
      </c>
      <c r="B58" s="69"/>
      <c r="C58" s="69"/>
      <c r="D58" s="69"/>
      <c r="E58" s="69"/>
      <c r="F58" s="70"/>
      <c r="G58" s="71"/>
      <c r="H58" s="72"/>
      <c r="I58" s="73"/>
      <c r="J58" s="72"/>
      <c r="K58" s="12"/>
      <c r="L58" s="8"/>
      <c r="N58" s="8"/>
      <c r="O58" s="8"/>
      <c r="P58" s="8"/>
    </row>
    <row r="59" spans="1:16" ht="15.75" customHeight="1">
      <c r="A59" s="74" t="s">
        <v>53</v>
      </c>
      <c r="B59" s="75"/>
      <c r="C59" s="75"/>
      <c r="D59" s="34" t="s">
        <v>1</v>
      </c>
      <c r="E59" s="35">
        <v>0.4</v>
      </c>
      <c r="F59" s="82"/>
      <c r="G59" s="37">
        <v>5</v>
      </c>
      <c r="H59" s="38">
        <v>10</v>
      </c>
      <c r="I59" s="39">
        <v>5.6</v>
      </c>
      <c r="J59" s="83"/>
      <c r="K59" s="84"/>
      <c r="L59" s="83"/>
      <c r="M59" s="84"/>
      <c r="N59" s="83"/>
      <c r="O59" s="84"/>
      <c r="P59" s="40"/>
    </row>
    <row r="60" spans="1:16" ht="15.75" customHeight="1">
      <c r="A60" s="54" t="s">
        <v>54</v>
      </c>
      <c r="B60" s="55"/>
      <c r="C60" s="55"/>
      <c r="D60" s="45" t="s">
        <v>1</v>
      </c>
      <c r="E60" s="46">
        <v>0.25</v>
      </c>
      <c r="F60" s="76"/>
      <c r="G60" s="57">
        <v>5</v>
      </c>
      <c r="H60" s="58">
        <v>10</v>
      </c>
      <c r="I60" s="56">
        <v>3.5</v>
      </c>
      <c r="J60" s="77"/>
      <c r="K60" s="78"/>
      <c r="L60" s="77"/>
      <c r="M60" s="78"/>
      <c r="N60" s="77"/>
      <c r="O60" s="78"/>
      <c r="P60" s="51"/>
    </row>
    <row r="61" spans="1:16" ht="15.75" customHeight="1">
      <c r="A61" s="54" t="s">
        <v>9</v>
      </c>
      <c r="B61" s="55"/>
      <c r="C61" s="55"/>
      <c r="D61" s="45" t="s">
        <v>1</v>
      </c>
      <c r="E61" s="46">
        <v>0.7</v>
      </c>
      <c r="F61" s="76"/>
      <c r="G61" s="57">
        <v>5</v>
      </c>
      <c r="H61" s="58">
        <v>10</v>
      </c>
      <c r="I61" s="56">
        <v>12</v>
      </c>
      <c r="J61" s="77"/>
      <c r="K61" s="78"/>
      <c r="L61" s="77"/>
      <c r="M61" s="78"/>
      <c r="N61" s="77"/>
      <c r="O61" s="78"/>
      <c r="P61" s="51"/>
    </row>
    <row r="62" spans="1:16" ht="15.75" customHeight="1">
      <c r="A62" s="54" t="s">
        <v>10</v>
      </c>
      <c r="B62" s="55"/>
      <c r="C62" s="55"/>
      <c r="D62" s="45" t="s">
        <v>1</v>
      </c>
      <c r="E62" s="46">
        <v>1</v>
      </c>
      <c r="F62" s="76"/>
      <c r="G62" s="57">
        <v>5</v>
      </c>
      <c r="H62" s="58">
        <v>10</v>
      </c>
      <c r="I62" s="56">
        <v>14</v>
      </c>
      <c r="J62" s="77"/>
      <c r="K62" s="78"/>
      <c r="L62" s="77"/>
      <c r="M62" s="78"/>
      <c r="N62" s="77"/>
      <c r="O62" s="78"/>
      <c r="P62" s="51"/>
    </row>
    <row r="63" spans="1:16" ht="15.75" customHeight="1">
      <c r="A63" s="54" t="s">
        <v>11</v>
      </c>
      <c r="B63" s="55"/>
      <c r="C63" s="55"/>
      <c r="D63" s="45" t="s">
        <v>1</v>
      </c>
      <c r="E63" s="46">
        <v>0.5</v>
      </c>
      <c r="F63" s="76"/>
      <c r="G63" s="57">
        <v>5</v>
      </c>
      <c r="H63" s="58">
        <v>10</v>
      </c>
      <c r="I63" s="56">
        <v>10</v>
      </c>
      <c r="J63" s="77"/>
      <c r="K63" s="78"/>
      <c r="L63" s="77"/>
      <c r="M63" s="78"/>
      <c r="N63" s="77"/>
      <c r="O63" s="78"/>
      <c r="P63" s="51"/>
    </row>
    <row r="64" spans="1:16" ht="15.75" customHeight="1">
      <c r="A64" s="79" t="s">
        <v>8</v>
      </c>
      <c r="B64" s="60"/>
      <c r="C64" s="60"/>
      <c r="D64" s="80"/>
      <c r="E64" s="81"/>
      <c r="F64" s="63"/>
      <c r="G64" s="66"/>
      <c r="H64" s="67"/>
      <c r="I64" s="63"/>
      <c r="J64" s="66"/>
      <c r="K64" s="67"/>
      <c r="L64" s="66"/>
      <c r="M64" s="67"/>
      <c r="N64" s="66"/>
      <c r="O64" s="67"/>
      <c r="P64" s="68"/>
    </row>
    <row r="65" spans="1:17" ht="4.5" customHeight="1">
      <c r="F65" s="10"/>
      <c r="G65" s="8"/>
      <c r="H65" s="8"/>
      <c r="J65" s="8"/>
      <c r="K65" s="8"/>
      <c r="L65" s="8"/>
      <c r="N65" s="8"/>
      <c r="O65" s="8"/>
      <c r="P65" s="8"/>
    </row>
    <row r="66" spans="1:17" ht="4.5" customHeight="1">
      <c r="F66" s="10"/>
      <c r="G66" s="8"/>
      <c r="H66" s="8"/>
      <c r="J66" s="8"/>
      <c r="K66" s="8"/>
      <c r="L66" s="8"/>
      <c r="N66" s="8"/>
      <c r="O66" s="8"/>
      <c r="P66" s="8"/>
    </row>
    <row r="67" spans="1:17" ht="18" customHeight="1">
      <c r="A67" s="69" t="s">
        <v>148</v>
      </c>
      <c r="B67" s="69"/>
      <c r="C67" s="69"/>
      <c r="D67" s="69"/>
      <c r="E67" s="69"/>
      <c r="F67" s="70"/>
      <c r="G67" s="71"/>
      <c r="H67" s="72"/>
      <c r="I67" s="73"/>
      <c r="J67" s="72"/>
      <c r="K67" s="12"/>
      <c r="L67" s="8"/>
      <c r="N67" s="8"/>
      <c r="O67" s="8"/>
      <c r="P67" s="8"/>
      <c r="Q67" s="11"/>
    </row>
    <row r="68" spans="1:17" ht="15.75" customHeight="1">
      <c r="A68" s="74" t="s">
        <v>149</v>
      </c>
      <c r="B68" s="75"/>
      <c r="C68" s="75"/>
      <c r="D68" s="34" t="s">
        <v>5</v>
      </c>
      <c r="E68" s="35">
        <v>0.8</v>
      </c>
      <c r="F68" s="82"/>
      <c r="G68" s="83"/>
      <c r="H68" s="84"/>
      <c r="I68" s="39"/>
      <c r="J68" s="83"/>
      <c r="K68" s="84"/>
      <c r="L68" s="83"/>
      <c r="M68" s="84"/>
      <c r="N68" s="83"/>
      <c r="O68" s="84"/>
      <c r="P68" s="40"/>
    </row>
    <row r="69" spans="1:17" ht="15.75" customHeight="1">
      <c r="A69" s="54" t="s">
        <v>150</v>
      </c>
      <c r="B69" s="55"/>
      <c r="C69" s="55"/>
      <c r="D69" s="45" t="s">
        <v>5</v>
      </c>
      <c r="E69" s="46">
        <v>0.4</v>
      </c>
      <c r="F69" s="76"/>
      <c r="G69" s="77"/>
      <c r="H69" s="78"/>
      <c r="I69" s="56">
        <v>9.6</v>
      </c>
      <c r="J69" s="77"/>
      <c r="K69" s="78"/>
      <c r="L69" s="77"/>
      <c r="M69" s="78"/>
      <c r="N69" s="77"/>
      <c r="O69" s="78"/>
      <c r="P69" s="51"/>
    </row>
    <row r="70" spans="1:17" ht="15.75" customHeight="1">
      <c r="A70" s="54" t="s">
        <v>151</v>
      </c>
      <c r="B70" s="55"/>
      <c r="C70" s="55"/>
      <c r="D70" s="45" t="s">
        <v>5</v>
      </c>
      <c r="E70" s="46">
        <v>0.1</v>
      </c>
      <c r="F70" s="76"/>
      <c r="G70" s="77"/>
      <c r="H70" s="78"/>
      <c r="I70" s="56">
        <v>4.4000000000000004</v>
      </c>
      <c r="J70" s="77"/>
      <c r="K70" s="78"/>
      <c r="L70" s="77"/>
      <c r="M70" s="78"/>
      <c r="N70" s="77"/>
      <c r="O70" s="78"/>
      <c r="P70" s="51"/>
    </row>
    <row r="71" spans="1:17" ht="15.75" customHeight="1">
      <c r="A71" s="54" t="s">
        <v>152</v>
      </c>
      <c r="B71" s="55"/>
      <c r="C71" s="55"/>
      <c r="D71" s="45" t="s">
        <v>5</v>
      </c>
      <c r="E71" s="46">
        <v>0.2</v>
      </c>
      <c r="F71" s="76"/>
      <c r="G71" s="77"/>
      <c r="H71" s="78"/>
      <c r="I71" s="56">
        <v>1.6</v>
      </c>
      <c r="J71" s="77"/>
      <c r="K71" s="78"/>
      <c r="L71" s="77"/>
      <c r="M71" s="78"/>
      <c r="N71" s="77"/>
      <c r="O71" s="78"/>
      <c r="P71" s="51"/>
    </row>
    <row r="72" spans="1:17" ht="15.75" customHeight="1">
      <c r="A72" s="54" t="s">
        <v>153</v>
      </c>
      <c r="B72" s="55"/>
      <c r="C72" s="55"/>
      <c r="D72" s="45" t="s">
        <v>5</v>
      </c>
      <c r="E72" s="46">
        <v>0.17</v>
      </c>
      <c r="F72" s="76"/>
      <c r="G72" s="77"/>
      <c r="H72" s="78"/>
      <c r="I72" s="56">
        <v>1.6</v>
      </c>
      <c r="J72" s="77"/>
      <c r="K72" s="78"/>
      <c r="L72" s="77"/>
      <c r="M72" s="78"/>
      <c r="N72" s="77"/>
      <c r="O72" s="78"/>
      <c r="P72" s="51"/>
    </row>
    <row r="73" spans="1:17" ht="15.75" customHeight="1">
      <c r="A73" s="54" t="s">
        <v>154</v>
      </c>
      <c r="B73" s="55"/>
      <c r="C73" s="55"/>
      <c r="D73" s="45" t="s">
        <v>5</v>
      </c>
      <c r="E73" s="46">
        <v>0.11</v>
      </c>
      <c r="F73" s="76"/>
      <c r="G73" s="77"/>
      <c r="H73" s="78"/>
      <c r="I73" s="56">
        <v>1.6</v>
      </c>
      <c r="J73" s="77"/>
      <c r="K73" s="78"/>
      <c r="L73" s="77"/>
      <c r="M73" s="78"/>
      <c r="N73" s="77"/>
      <c r="O73" s="78"/>
      <c r="P73" s="51"/>
    </row>
    <row r="74" spans="1:17" ht="15.75" customHeight="1">
      <c r="A74" s="54" t="s">
        <v>155</v>
      </c>
      <c r="B74" s="55"/>
      <c r="C74" s="55"/>
      <c r="D74" s="45" t="s">
        <v>5</v>
      </c>
      <c r="E74" s="46">
        <v>0.11</v>
      </c>
      <c r="F74" s="76"/>
      <c r="G74" s="77"/>
      <c r="H74" s="78"/>
      <c r="I74" s="56">
        <v>1.6</v>
      </c>
      <c r="J74" s="77"/>
      <c r="K74" s="78"/>
      <c r="L74" s="77"/>
      <c r="M74" s="78"/>
      <c r="N74" s="77"/>
      <c r="O74" s="78"/>
      <c r="P74" s="51"/>
    </row>
    <row r="75" spans="1:17" ht="15.75" customHeight="1">
      <c r="A75" s="54" t="s">
        <v>156</v>
      </c>
      <c r="B75" s="55"/>
      <c r="C75" s="55"/>
      <c r="D75" s="45" t="s">
        <v>5</v>
      </c>
      <c r="E75" s="46">
        <v>7.0000000000000007E-2</v>
      </c>
      <c r="F75" s="76"/>
      <c r="G75" s="77"/>
      <c r="H75" s="78"/>
      <c r="I75" s="56">
        <v>1.6</v>
      </c>
      <c r="J75" s="77"/>
      <c r="K75" s="78"/>
      <c r="L75" s="77"/>
      <c r="M75" s="78"/>
      <c r="N75" s="77"/>
      <c r="O75" s="78"/>
      <c r="P75" s="51"/>
    </row>
    <row r="76" spans="1:17" ht="15.75" customHeight="1">
      <c r="A76" s="54" t="s">
        <v>157</v>
      </c>
      <c r="B76" s="55"/>
      <c r="C76" s="55"/>
      <c r="D76" s="45" t="s">
        <v>5</v>
      </c>
      <c r="E76" s="46">
        <v>0.125</v>
      </c>
      <c r="F76" s="76"/>
      <c r="G76" s="77"/>
      <c r="H76" s="78"/>
      <c r="I76" s="56">
        <v>0.2</v>
      </c>
      <c r="J76" s="77"/>
      <c r="K76" s="78"/>
      <c r="L76" s="77"/>
      <c r="M76" s="78"/>
      <c r="N76" s="77"/>
      <c r="O76" s="78"/>
      <c r="P76" s="51"/>
    </row>
    <row r="77" spans="1:17" ht="15.75" customHeight="1">
      <c r="A77" s="54" t="s">
        <v>158</v>
      </c>
      <c r="B77" s="55"/>
      <c r="C77" s="55"/>
      <c r="D77" s="45" t="s">
        <v>5</v>
      </c>
      <c r="E77" s="85">
        <v>2.3999999999999998E-3</v>
      </c>
      <c r="F77" s="76"/>
      <c r="G77" s="77"/>
      <c r="H77" s="78"/>
      <c r="I77" s="56">
        <v>0.2</v>
      </c>
      <c r="J77" s="77"/>
      <c r="K77" s="78"/>
      <c r="L77" s="77"/>
      <c r="M77" s="78"/>
      <c r="N77" s="77"/>
      <c r="O77" s="78"/>
      <c r="P77" s="51"/>
    </row>
    <row r="78" spans="1:17" ht="15.75" customHeight="1">
      <c r="A78" s="79" t="s">
        <v>8</v>
      </c>
      <c r="B78" s="60"/>
      <c r="C78" s="60"/>
      <c r="D78" s="80"/>
      <c r="E78" s="81"/>
      <c r="F78" s="63"/>
      <c r="G78" s="66"/>
      <c r="H78" s="67"/>
      <c r="I78" s="63"/>
      <c r="J78" s="66"/>
      <c r="K78" s="67"/>
      <c r="L78" s="66"/>
      <c r="M78" s="67"/>
      <c r="N78" s="66"/>
      <c r="O78" s="67"/>
      <c r="P78" s="68"/>
    </row>
    <row r="79" spans="1:17" ht="4.5" customHeight="1">
      <c r="F79" s="10"/>
      <c r="G79" s="8"/>
      <c r="H79" s="8"/>
      <c r="J79" s="8"/>
      <c r="K79" s="8"/>
      <c r="L79" s="8"/>
      <c r="N79" s="8"/>
      <c r="O79" s="8"/>
      <c r="P79" s="8"/>
    </row>
    <row r="80" spans="1:17" ht="4.5" customHeight="1">
      <c r="F80" s="10"/>
      <c r="G80" s="8"/>
      <c r="H80" s="8"/>
      <c r="J80" s="8"/>
      <c r="K80" s="8"/>
      <c r="L80" s="8"/>
      <c r="N80" s="8"/>
      <c r="O80" s="8"/>
      <c r="P80" s="8"/>
    </row>
    <row r="81" spans="1:17" ht="18" customHeight="1">
      <c r="A81" s="69" t="s">
        <v>13</v>
      </c>
      <c r="B81" s="69"/>
      <c r="C81" s="69"/>
      <c r="D81" s="69"/>
      <c r="E81" s="69"/>
      <c r="F81" s="70"/>
      <c r="G81" s="71"/>
      <c r="H81" s="72"/>
      <c r="I81" s="73"/>
      <c r="J81" s="72"/>
      <c r="K81" s="12"/>
      <c r="L81" s="8"/>
      <c r="N81" s="8"/>
      <c r="O81" s="8"/>
      <c r="P81" s="8"/>
      <c r="Q81" s="11"/>
    </row>
    <row r="82" spans="1:17" ht="15.75" customHeight="1">
      <c r="A82" s="74" t="s">
        <v>104</v>
      </c>
      <c r="B82" s="75"/>
      <c r="C82" s="75"/>
      <c r="D82" s="34" t="s">
        <v>5</v>
      </c>
      <c r="E82" s="35">
        <v>0.17</v>
      </c>
      <c r="F82" s="36">
        <v>1.6</v>
      </c>
      <c r="G82" s="83"/>
      <c r="H82" s="84"/>
      <c r="I82" s="39">
        <v>1.2</v>
      </c>
      <c r="J82" s="37">
        <v>1.2</v>
      </c>
      <c r="K82" s="38">
        <v>0.3</v>
      </c>
      <c r="L82" s="37">
        <v>0.9</v>
      </c>
      <c r="M82" s="38">
        <v>0.6</v>
      </c>
      <c r="N82" s="37">
        <v>0.4</v>
      </c>
      <c r="O82" s="38">
        <v>0.9</v>
      </c>
      <c r="P82" s="40"/>
    </row>
    <row r="83" spans="1:17" ht="15.75" customHeight="1">
      <c r="A83" s="54" t="s">
        <v>136</v>
      </c>
      <c r="B83" s="55"/>
      <c r="C83" s="55"/>
      <c r="D83" s="45" t="s">
        <v>1</v>
      </c>
      <c r="E83" s="46">
        <v>5.8999999999999997E-2</v>
      </c>
      <c r="F83" s="47">
        <v>0.5</v>
      </c>
      <c r="G83" s="77"/>
      <c r="H83" s="78"/>
      <c r="I83" s="56">
        <v>0.4</v>
      </c>
      <c r="J83" s="57">
        <v>0.4</v>
      </c>
      <c r="K83" s="58">
        <v>0.1</v>
      </c>
      <c r="L83" s="57">
        <v>0.3</v>
      </c>
      <c r="M83" s="58">
        <v>0.2</v>
      </c>
      <c r="N83" s="57">
        <v>0.1</v>
      </c>
      <c r="O83" s="58">
        <v>0.3</v>
      </c>
      <c r="P83" s="51"/>
    </row>
    <row r="84" spans="1:17" ht="15.75" customHeight="1">
      <c r="A84" s="54" t="s">
        <v>140</v>
      </c>
      <c r="B84" s="55"/>
      <c r="C84" s="55"/>
      <c r="D84" s="45" t="s">
        <v>5</v>
      </c>
      <c r="E84" s="46">
        <v>0.45</v>
      </c>
      <c r="F84" s="47">
        <v>6</v>
      </c>
      <c r="G84" s="77"/>
      <c r="H84" s="78"/>
      <c r="I84" s="56">
        <v>3.4</v>
      </c>
      <c r="J84" s="57">
        <v>4.5</v>
      </c>
      <c r="K84" s="58">
        <v>0.9</v>
      </c>
      <c r="L84" s="57">
        <v>3</v>
      </c>
      <c r="M84" s="58">
        <v>1.7</v>
      </c>
      <c r="N84" s="57">
        <v>1.5</v>
      </c>
      <c r="O84" s="58">
        <v>2.6</v>
      </c>
      <c r="P84" s="51"/>
    </row>
    <row r="85" spans="1:17" ht="15.75" customHeight="1">
      <c r="A85" s="54" t="s">
        <v>135</v>
      </c>
      <c r="B85" s="55"/>
      <c r="C85" s="55"/>
      <c r="D85" s="45" t="s">
        <v>1</v>
      </c>
      <c r="E85" s="46">
        <v>0.25</v>
      </c>
      <c r="F85" s="47">
        <v>3.3</v>
      </c>
      <c r="G85" s="77"/>
      <c r="H85" s="78"/>
      <c r="I85" s="56">
        <v>1.9</v>
      </c>
      <c r="J85" s="57">
        <v>2.5</v>
      </c>
      <c r="K85" s="58">
        <v>0.5</v>
      </c>
      <c r="L85" s="57">
        <v>1.7</v>
      </c>
      <c r="M85" s="58">
        <v>0.9</v>
      </c>
      <c r="N85" s="57">
        <v>0.8</v>
      </c>
      <c r="O85" s="58">
        <v>1.4</v>
      </c>
      <c r="P85" s="51"/>
    </row>
    <row r="86" spans="1:17" ht="15.75" customHeight="1">
      <c r="A86" s="54" t="s">
        <v>57</v>
      </c>
      <c r="B86" s="55"/>
      <c r="C86" s="55"/>
      <c r="D86" s="45" t="s">
        <v>5</v>
      </c>
      <c r="E86" s="46">
        <v>0.06</v>
      </c>
      <c r="F86" s="47">
        <v>0.8</v>
      </c>
      <c r="G86" s="77"/>
      <c r="H86" s="78"/>
      <c r="I86" s="56">
        <v>0.5</v>
      </c>
      <c r="J86" s="57">
        <v>0.6</v>
      </c>
      <c r="K86" s="58">
        <v>0.1</v>
      </c>
      <c r="L86" s="57">
        <v>0.4</v>
      </c>
      <c r="M86" s="58">
        <v>0.3</v>
      </c>
      <c r="N86" s="57">
        <v>0.2</v>
      </c>
      <c r="O86" s="58">
        <v>0.4</v>
      </c>
      <c r="P86" s="51"/>
    </row>
    <row r="87" spans="1:17" ht="15.75" customHeight="1">
      <c r="A87" s="54" t="s">
        <v>137</v>
      </c>
      <c r="B87" s="55"/>
      <c r="C87" s="55"/>
      <c r="D87" s="45" t="s">
        <v>1</v>
      </c>
      <c r="E87" s="46">
        <v>5.0000000000000001E-3</v>
      </c>
      <c r="F87" s="47">
        <v>0.08</v>
      </c>
      <c r="G87" s="77"/>
      <c r="H87" s="78"/>
      <c r="I87" s="56">
        <v>0.05</v>
      </c>
      <c r="J87" s="57">
        <v>0.06</v>
      </c>
      <c r="K87" s="58">
        <v>0.01</v>
      </c>
      <c r="L87" s="57">
        <v>0.04</v>
      </c>
      <c r="M87" s="58">
        <v>0.04</v>
      </c>
      <c r="N87" s="57">
        <v>0.02</v>
      </c>
      <c r="O87" s="58">
        <v>0.05</v>
      </c>
      <c r="P87" s="51"/>
    </row>
    <row r="88" spans="1:17" ht="15.75" customHeight="1">
      <c r="A88" s="54" t="s">
        <v>56</v>
      </c>
      <c r="B88" s="55"/>
      <c r="C88" s="55"/>
      <c r="D88" s="45" t="s">
        <v>5</v>
      </c>
      <c r="E88" s="46">
        <v>0.26</v>
      </c>
      <c r="F88" s="47">
        <v>3.6</v>
      </c>
      <c r="G88" s="77"/>
      <c r="H88" s="78"/>
      <c r="I88" s="56">
        <v>2</v>
      </c>
      <c r="J88" s="57">
        <v>2.7</v>
      </c>
      <c r="K88" s="58">
        <v>0.5</v>
      </c>
      <c r="L88" s="57">
        <v>1.8</v>
      </c>
      <c r="M88" s="58">
        <v>1</v>
      </c>
      <c r="N88" s="57">
        <v>0.9</v>
      </c>
      <c r="O88" s="58">
        <v>1.5</v>
      </c>
      <c r="P88" s="51"/>
    </row>
    <row r="89" spans="1:17" ht="15.75" customHeight="1">
      <c r="A89" s="54" t="s">
        <v>138</v>
      </c>
      <c r="B89" s="55"/>
      <c r="C89" s="55"/>
      <c r="D89" s="45" t="s">
        <v>1</v>
      </c>
      <c r="E89" s="46">
        <v>0.08</v>
      </c>
      <c r="F89" s="47">
        <v>1.2</v>
      </c>
      <c r="G89" s="77"/>
      <c r="H89" s="78"/>
      <c r="I89" s="56">
        <v>6</v>
      </c>
      <c r="J89" s="57">
        <v>0.9</v>
      </c>
      <c r="K89" s="58">
        <v>0.2</v>
      </c>
      <c r="L89" s="57">
        <v>0.6</v>
      </c>
      <c r="M89" s="58">
        <v>0.4</v>
      </c>
      <c r="N89" s="57">
        <v>0.3</v>
      </c>
      <c r="O89" s="58">
        <v>0.6</v>
      </c>
      <c r="P89" s="51"/>
    </row>
    <row r="90" spans="1:17" ht="15.75" customHeight="1">
      <c r="A90" s="54" t="s">
        <v>55</v>
      </c>
      <c r="B90" s="55"/>
      <c r="C90" s="55"/>
      <c r="D90" s="45" t="s">
        <v>5</v>
      </c>
      <c r="E90" s="46">
        <v>0.28000000000000003</v>
      </c>
      <c r="F90" s="47">
        <v>3.7</v>
      </c>
      <c r="G90" s="77"/>
      <c r="H90" s="78"/>
      <c r="I90" s="56">
        <v>2.1</v>
      </c>
      <c r="J90" s="57">
        <v>3</v>
      </c>
      <c r="K90" s="58">
        <v>0.4</v>
      </c>
      <c r="L90" s="57">
        <v>2.1</v>
      </c>
      <c r="M90" s="58">
        <v>1</v>
      </c>
      <c r="N90" s="57">
        <v>0.9</v>
      </c>
      <c r="O90" s="58">
        <v>1.6</v>
      </c>
      <c r="P90" s="51"/>
    </row>
    <row r="91" spans="1:17" ht="15.75" customHeight="1">
      <c r="A91" s="54" t="s">
        <v>59</v>
      </c>
      <c r="B91" s="55"/>
      <c r="C91" s="55"/>
      <c r="D91" s="45" t="s">
        <v>5</v>
      </c>
      <c r="E91" s="46">
        <v>0.55000000000000004</v>
      </c>
      <c r="F91" s="47">
        <v>7.2</v>
      </c>
      <c r="G91" s="77"/>
      <c r="H91" s="78"/>
      <c r="I91" s="56">
        <v>4</v>
      </c>
      <c r="J91" s="57">
        <v>5.4</v>
      </c>
      <c r="K91" s="58">
        <v>1</v>
      </c>
      <c r="L91" s="57">
        <v>3.6</v>
      </c>
      <c r="M91" s="58">
        <v>2</v>
      </c>
      <c r="N91" s="57">
        <v>1.8</v>
      </c>
      <c r="O91" s="58">
        <v>3</v>
      </c>
      <c r="P91" s="51"/>
    </row>
    <row r="92" spans="1:17" ht="15.75" customHeight="1">
      <c r="A92" s="54" t="s">
        <v>139</v>
      </c>
      <c r="B92" s="55"/>
      <c r="C92" s="55"/>
      <c r="D92" s="45" t="s">
        <v>1</v>
      </c>
      <c r="E92" s="46">
        <v>7.0000000000000007E-2</v>
      </c>
      <c r="F92" s="47">
        <v>0.9</v>
      </c>
      <c r="G92" s="77"/>
      <c r="H92" s="78"/>
      <c r="I92" s="56">
        <v>0.5</v>
      </c>
      <c r="J92" s="57">
        <v>0.7</v>
      </c>
      <c r="K92" s="58">
        <v>0.1</v>
      </c>
      <c r="L92" s="57">
        <v>0.5</v>
      </c>
      <c r="M92" s="58">
        <v>0.2</v>
      </c>
      <c r="N92" s="57">
        <v>0.2</v>
      </c>
      <c r="O92" s="58">
        <v>0.4</v>
      </c>
      <c r="P92" s="51"/>
    </row>
    <row r="93" spans="1:17" ht="15.75" customHeight="1">
      <c r="A93" s="54" t="s">
        <v>60</v>
      </c>
      <c r="B93" s="55"/>
      <c r="C93" s="55"/>
      <c r="D93" s="45" t="s">
        <v>5</v>
      </c>
      <c r="E93" s="46">
        <v>0.12</v>
      </c>
      <c r="F93" s="47">
        <v>1.1000000000000001</v>
      </c>
      <c r="G93" s="77"/>
      <c r="H93" s="78"/>
      <c r="I93" s="56">
        <v>0.9</v>
      </c>
      <c r="J93" s="57">
        <v>1.3</v>
      </c>
      <c r="K93" s="58">
        <v>0.2</v>
      </c>
      <c r="L93" s="57">
        <v>0.9</v>
      </c>
      <c r="M93" s="58">
        <v>0.4</v>
      </c>
      <c r="N93" s="57">
        <v>0.4</v>
      </c>
      <c r="O93" s="58">
        <v>0.7</v>
      </c>
      <c r="P93" s="51"/>
    </row>
    <row r="94" spans="1:17" ht="15.75" customHeight="1">
      <c r="A94" s="54" t="s">
        <v>105</v>
      </c>
      <c r="B94" s="55"/>
      <c r="C94" s="55"/>
      <c r="D94" s="45" t="s">
        <v>5</v>
      </c>
      <c r="E94" s="46">
        <v>0.3</v>
      </c>
      <c r="F94" s="47">
        <v>2.8</v>
      </c>
      <c r="G94" s="77"/>
      <c r="H94" s="78"/>
      <c r="I94" s="56">
        <v>2.2999999999999998</v>
      </c>
      <c r="J94" s="57">
        <v>3.2</v>
      </c>
      <c r="K94" s="58">
        <v>0.5</v>
      </c>
      <c r="L94" s="57">
        <v>2.2000000000000002</v>
      </c>
      <c r="M94" s="58">
        <v>1</v>
      </c>
      <c r="N94" s="57">
        <v>1</v>
      </c>
      <c r="O94" s="58">
        <v>1.7</v>
      </c>
      <c r="P94" s="51"/>
    </row>
    <row r="95" spans="1:17" ht="15.75" customHeight="1">
      <c r="A95" s="54" t="s">
        <v>58</v>
      </c>
      <c r="B95" s="55"/>
      <c r="C95" s="55"/>
      <c r="D95" s="45" t="s">
        <v>5</v>
      </c>
      <c r="E95" s="46">
        <v>0.34</v>
      </c>
      <c r="F95" s="47">
        <v>4.5</v>
      </c>
      <c r="G95" s="77"/>
      <c r="H95" s="78"/>
      <c r="I95" s="56">
        <v>2.6</v>
      </c>
      <c r="J95" s="57">
        <v>3.6</v>
      </c>
      <c r="K95" s="58">
        <v>0.5</v>
      </c>
      <c r="L95" s="57">
        <v>2.5</v>
      </c>
      <c r="M95" s="58">
        <v>1.2</v>
      </c>
      <c r="N95" s="57">
        <v>1.1000000000000001</v>
      </c>
      <c r="O95" s="58">
        <v>1.9</v>
      </c>
      <c r="P95" s="51"/>
    </row>
    <row r="96" spans="1:17" ht="15.75" customHeight="1">
      <c r="A96" s="79" t="s">
        <v>8</v>
      </c>
      <c r="B96" s="60"/>
      <c r="C96" s="60"/>
      <c r="D96" s="80"/>
      <c r="E96" s="81"/>
      <c r="F96" s="63"/>
      <c r="G96" s="66"/>
      <c r="H96" s="67"/>
      <c r="I96" s="63"/>
      <c r="J96" s="66"/>
      <c r="K96" s="67"/>
      <c r="L96" s="66"/>
      <c r="M96" s="67"/>
      <c r="N96" s="66"/>
      <c r="O96" s="67"/>
      <c r="P96" s="68"/>
    </row>
    <row r="97" spans="1:17" ht="4.5" customHeight="1">
      <c r="F97" s="10"/>
      <c r="G97" s="8"/>
      <c r="H97" s="8"/>
      <c r="J97" s="8"/>
      <c r="K97" s="8"/>
      <c r="L97" s="8"/>
      <c r="N97" s="8"/>
      <c r="O97" s="8"/>
      <c r="P97" s="8"/>
    </row>
    <row r="98" spans="1:17" ht="4.5" customHeight="1">
      <c r="F98" s="10"/>
      <c r="G98" s="8"/>
      <c r="H98" s="8"/>
      <c r="J98" s="8"/>
      <c r="K98" s="8"/>
      <c r="L98" s="8"/>
      <c r="N98" s="8"/>
      <c r="O98" s="8"/>
      <c r="P98" s="8"/>
    </row>
    <row r="99" spans="1:17" ht="18" customHeight="1">
      <c r="A99" s="69" t="s">
        <v>14</v>
      </c>
      <c r="B99" s="69"/>
      <c r="C99" s="69"/>
      <c r="D99" s="69"/>
      <c r="E99" s="69"/>
      <c r="F99" s="70"/>
      <c r="G99" s="71"/>
      <c r="H99" s="72"/>
      <c r="I99" s="73" t="s">
        <v>35</v>
      </c>
      <c r="J99" s="72"/>
      <c r="K99" s="12" t="s">
        <v>248</v>
      </c>
      <c r="L99" s="8"/>
      <c r="M99" s="8" t="s">
        <v>37</v>
      </c>
      <c r="N99" s="8"/>
      <c r="O99" s="8" t="s">
        <v>36</v>
      </c>
      <c r="P99" s="8"/>
      <c r="Q99" s="11"/>
    </row>
    <row r="100" spans="1:17" ht="15.75" customHeight="1">
      <c r="A100" s="74" t="s">
        <v>61</v>
      </c>
      <c r="B100" s="75"/>
      <c r="C100" s="75"/>
      <c r="D100" s="34" t="s">
        <v>15</v>
      </c>
      <c r="E100" s="35">
        <v>1</v>
      </c>
      <c r="F100" s="87"/>
      <c r="G100" s="82"/>
      <c r="H100" s="88"/>
      <c r="I100" s="89">
        <v>2.7</v>
      </c>
      <c r="J100" s="88"/>
      <c r="K100" s="89">
        <v>1.5</v>
      </c>
      <c r="L100" s="82"/>
      <c r="M100" s="88"/>
      <c r="N100" s="82"/>
      <c r="O100" s="88"/>
      <c r="P100" s="40"/>
    </row>
    <row r="101" spans="1:17" ht="15.75" customHeight="1">
      <c r="A101" s="54" t="s">
        <v>16</v>
      </c>
      <c r="B101" s="55"/>
      <c r="C101" s="55"/>
      <c r="D101" s="45" t="s">
        <v>15</v>
      </c>
      <c r="E101" s="46">
        <v>0.4</v>
      </c>
      <c r="F101" s="90"/>
      <c r="G101" s="91"/>
      <c r="H101" s="92"/>
      <c r="I101" s="93">
        <v>1.7</v>
      </c>
      <c r="J101" s="92"/>
      <c r="K101" s="93">
        <v>0.8</v>
      </c>
      <c r="L101" s="91"/>
      <c r="M101" s="92"/>
      <c r="N101" s="91"/>
      <c r="O101" s="92"/>
      <c r="P101" s="94"/>
    </row>
    <row r="102" spans="1:17" ht="15.75" customHeight="1">
      <c r="A102" s="54" t="s">
        <v>17</v>
      </c>
      <c r="B102" s="55"/>
      <c r="C102" s="55"/>
      <c r="D102" s="45" t="s">
        <v>15</v>
      </c>
      <c r="E102" s="46">
        <v>0.4</v>
      </c>
      <c r="F102" s="92"/>
      <c r="G102" s="91"/>
      <c r="H102" s="92"/>
      <c r="I102" s="92"/>
      <c r="J102" s="90"/>
      <c r="K102" s="92"/>
      <c r="L102" s="91"/>
      <c r="M102" s="93">
        <v>0.8</v>
      </c>
      <c r="N102" s="91"/>
      <c r="O102" s="92"/>
      <c r="P102" s="94"/>
    </row>
    <row r="103" spans="1:17" ht="15.75" customHeight="1">
      <c r="A103" s="54" t="s">
        <v>18</v>
      </c>
      <c r="B103" s="55"/>
      <c r="C103" s="55"/>
      <c r="D103" s="45" t="s">
        <v>15</v>
      </c>
      <c r="E103" s="46">
        <v>1.5</v>
      </c>
      <c r="F103" s="92"/>
      <c r="G103" s="91"/>
      <c r="H103" s="92"/>
      <c r="I103" s="92"/>
      <c r="J103" s="92"/>
      <c r="K103" s="92"/>
      <c r="L103" s="95"/>
      <c r="M103" s="92"/>
      <c r="N103" s="91"/>
      <c r="O103" s="93">
        <v>3</v>
      </c>
      <c r="P103" s="94"/>
    </row>
    <row r="104" spans="1:17" ht="15.75" customHeight="1">
      <c r="A104" s="54" t="s">
        <v>68</v>
      </c>
      <c r="B104" s="55"/>
      <c r="C104" s="55"/>
      <c r="D104" s="45" t="s">
        <v>15</v>
      </c>
      <c r="E104" s="46">
        <v>0.5</v>
      </c>
      <c r="F104" s="92"/>
      <c r="G104" s="91"/>
      <c r="H104" s="92"/>
      <c r="I104" s="92"/>
      <c r="J104" s="92"/>
      <c r="K104" s="92"/>
      <c r="L104" s="95"/>
      <c r="M104" s="92"/>
      <c r="N104" s="91"/>
      <c r="O104" s="93">
        <v>0.86</v>
      </c>
      <c r="P104" s="94"/>
    </row>
    <row r="105" spans="1:17" ht="15.75" customHeight="1">
      <c r="A105" s="54" t="s">
        <v>70</v>
      </c>
      <c r="B105" s="55"/>
      <c r="C105" s="55"/>
      <c r="D105" s="45" t="s">
        <v>15</v>
      </c>
      <c r="E105" s="46">
        <v>1</v>
      </c>
      <c r="F105" s="92"/>
      <c r="G105" s="91"/>
      <c r="H105" s="92"/>
      <c r="I105" s="92"/>
      <c r="J105" s="92"/>
      <c r="K105" s="92"/>
      <c r="L105" s="95"/>
      <c r="M105" s="92"/>
      <c r="N105" s="91"/>
      <c r="O105" s="93">
        <v>4.93</v>
      </c>
      <c r="P105" s="94"/>
    </row>
    <row r="106" spans="1:17" ht="15.75" customHeight="1">
      <c r="A106" s="54" t="s">
        <v>62</v>
      </c>
      <c r="B106" s="55"/>
      <c r="C106" s="55"/>
      <c r="D106" s="45" t="s">
        <v>15</v>
      </c>
      <c r="E106" s="46">
        <v>1</v>
      </c>
      <c r="F106" s="90"/>
      <c r="G106" s="91"/>
      <c r="H106" s="92"/>
      <c r="I106" s="93">
        <v>4</v>
      </c>
      <c r="J106" s="92"/>
      <c r="K106" s="93">
        <v>1.8</v>
      </c>
      <c r="L106" s="91"/>
      <c r="M106" s="92"/>
      <c r="N106" s="91"/>
      <c r="O106" s="92"/>
      <c r="P106" s="94"/>
    </row>
    <row r="107" spans="1:17" ht="15.75" customHeight="1">
      <c r="A107" s="54" t="s">
        <v>63</v>
      </c>
      <c r="B107" s="55"/>
      <c r="C107" s="55"/>
      <c r="D107" s="45" t="s">
        <v>15</v>
      </c>
      <c r="E107" s="46">
        <v>0.6</v>
      </c>
      <c r="F107" s="90"/>
      <c r="G107" s="91"/>
      <c r="H107" s="92"/>
      <c r="I107" s="93">
        <v>4</v>
      </c>
      <c r="J107" s="92"/>
      <c r="K107" s="93">
        <v>1.2</v>
      </c>
      <c r="L107" s="91"/>
      <c r="M107" s="92"/>
      <c r="N107" s="91"/>
      <c r="O107" s="92"/>
      <c r="P107" s="94"/>
    </row>
    <row r="108" spans="1:17" ht="15.75" customHeight="1">
      <c r="A108" s="54" t="s">
        <v>64</v>
      </c>
      <c r="B108" s="55"/>
      <c r="C108" s="55"/>
      <c r="D108" s="45" t="s">
        <v>15</v>
      </c>
      <c r="E108" s="46">
        <v>1.5</v>
      </c>
      <c r="F108" s="90"/>
      <c r="G108" s="91"/>
      <c r="H108" s="92"/>
      <c r="I108" s="93">
        <v>4</v>
      </c>
      <c r="J108" s="92"/>
      <c r="K108" s="93">
        <v>3</v>
      </c>
      <c r="L108" s="91"/>
      <c r="M108" s="92"/>
      <c r="N108" s="91"/>
      <c r="O108" s="92"/>
      <c r="P108" s="94"/>
    </row>
    <row r="109" spans="1:17" ht="15.75" customHeight="1">
      <c r="A109" s="54" t="s">
        <v>65</v>
      </c>
      <c r="B109" s="55"/>
      <c r="C109" s="55"/>
      <c r="D109" s="45" t="s">
        <v>15</v>
      </c>
      <c r="E109" s="46">
        <v>0.75</v>
      </c>
      <c r="F109" s="90"/>
      <c r="G109" s="91"/>
      <c r="H109" s="92"/>
      <c r="I109" s="93">
        <v>4</v>
      </c>
      <c r="J109" s="92"/>
      <c r="K109" s="93">
        <v>2</v>
      </c>
      <c r="L109" s="91"/>
      <c r="M109" s="92"/>
      <c r="N109" s="91"/>
      <c r="O109" s="92"/>
      <c r="P109" s="94"/>
    </row>
    <row r="110" spans="1:17" ht="15.75" customHeight="1">
      <c r="A110" s="54" t="s">
        <v>66</v>
      </c>
      <c r="B110" s="55"/>
      <c r="C110" s="55"/>
      <c r="D110" s="45" t="s">
        <v>15</v>
      </c>
      <c r="E110" s="46">
        <v>0.5</v>
      </c>
      <c r="F110" s="90"/>
      <c r="G110" s="91"/>
      <c r="H110" s="92"/>
      <c r="I110" s="93">
        <v>4</v>
      </c>
      <c r="J110" s="92"/>
      <c r="K110" s="93">
        <v>0.9</v>
      </c>
      <c r="L110" s="91"/>
      <c r="M110" s="92"/>
      <c r="N110" s="91"/>
      <c r="O110" s="92"/>
      <c r="P110" s="94"/>
    </row>
    <row r="111" spans="1:17" ht="15.75" customHeight="1">
      <c r="A111" s="54" t="s">
        <v>67</v>
      </c>
      <c r="B111" s="55"/>
      <c r="C111" s="55"/>
      <c r="D111" s="45" t="s">
        <v>15</v>
      </c>
      <c r="E111" s="46">
        <v>0.4</v>
      </c>
      <c r="F111" s="90"/>
      <c r="G111" s="91"/>
      <c r="H111" s="92"/>
      <c r="I111" s="93">
        <v>4</v>
      </c>
      <c r="J111" s="92"/>
      <c r="K111" s="93">
        <v>0.8</v>
      </c>
      <c r="L111" s="91"/>
      <c r="M111" s="92"/>
      <c r="N111" s="91"/>
      <c r="O111" s="92"/>
      <c r="P111" s="94"/>
    </row>
    <row r="112" spans="1:17" ht="15.75" customHeight="1">
      <c r="A112" s="79" t="s">
        <v>8</v>
      </c>
      <c r="B112" s="60"/>
      <c r="C112" s="60"/>
      <c r="D112" s="80"/>
      <c r="E112" s="81"/>
      <c r="F112" s="96"/>
      <c r="G112" s="97"/>
      <c r="H112" s="96"/>
      <c r="I112" s="96"/>
      <c r="J112" s="96"/>
      <c r="K112" s="96"/>
      <c r="L112" s="97"/>
      <c r="M112" s="96"/>
      <c r="N112" s="97"/>
      <c r="O112" s="96"/>
      <c r="P112" s="96"/>
    </row>
  </sheetData>
  <sheetProtection password="E306" sheet="1" objects="1" scenarios="1"/>
  <mergeCells count="7">
    <mergeCell ref="R2:S2"/>
    <mergeCell ref="R1:S1"/>
    <mergeCell ref="P1:P3"/>
    <mergeCell ref="G2:H2"/>
    <mergeCell ref="J2:K2"/>
    <mergeCell ref="L2:M2"/>
    <mergeCell ref="N2:O2"/>
  </mergeCells>
  <pageMargins left="0.78740157480314965" right="0.39370078740157483" top="0.78740157480314965" bottom="0.59055118110236227" header="0.51181102362204722" footer="0.39370078740157483"/>
  <pageSetup paperSize="9" scale="70" fitToHeight="0" orientation="portrait" r:id="rId1"/>
  <headerFooter alignWithMargins="0"/>
  <rowBreaks count="1" manualBreakCount="1">
    <brk id="6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Zusammenfassung</vt:lpstr>
      <vt:lpstr>Tierbestand</vt:lpstr>
      <vt:lpstr>Abwasseranfall</vt:lpstr>
      <vt:lpstr>Güllegruben_Mistplatz</vt:lpstr>
      <vt:lpstr>Div.Tab.Grundlagen</vt:lpstr>
      <vt:lpstr>Tabelle1</vt:lpstr>
      <vt:lpstr>Tabelle2</vt:lpstr>
      <vt:lpstr>Grundlagen Anfall</vt:lpstr>
      <vt:lpstr>'Grundlagen Anfall'!Druckbereich</vt:lpstr>
      <vt:lpstr>Güllegruben_Mistplatz!Druckbereich</vt:lpstr>
      <vt:lpstr>'Grundlagen Anfall'!Drucktitel</vt:lpstr>
      <vt:lpstr>Tierbestand!Drucktitel</vt:lpstr>
      <vt:lpstr>Div.Tab.Grundlagen!Ja</vt:lpstr>
      <vt:lpstr>Zone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ALWNW23</dc:creator>
  <cp:lastModifiedBy>st38</cp:lastModifiedBy>
  <cp:lastPrinted>2012-02-24T09:26:39Z</cp:lastPrinted>
  <dcterms:created xsi:type="dcterms:W3CDTF">2003-05-06T17:23:00Z</dcterms:created>
  <dcterms:modified xsi:type="dcterms:W3CDTF">2014-03-07T13:44:14Z</dcterms:modified>
</cp:coreProperties>
</file>